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ynoldsConsumer.com\appleton\Groups\GeoSystems\RESOURCES\Design Tools\Calculations Masters\GeoTerra\For Customers-password for locked tool prestogeo321\"/>
    </mc:Choice>
  </mc:AlternateContent>
  <workbookProtection workbookAlgorithmName="SHA-512" workbookHashValue="nVw9b+Sl2GNBkmmWQsCK4x1BuowZa3QRoyONbHHHWzPbjIKBGSIbaIdaED6RGzXmWMmQxKWxmEp7h2Nu2GC8cg==" workbookSaltValue="C6uvrK+c0Tx7tNIoPw2h+w==" workbookSpinCount="100000" lockStructure="1"/>
  <bookViews>
    <workbookView xWindow="0" yWindow="0" windowWidth="17256" windowHeight="5772"/>
  </bookViews>
  <sheets>
    <sheet name="Construction Mat" sheetId="1" r:id="rId1"/>
    <sheet name="CBR Correlations" sheetId="9" r:id="rId2"/>
    <sheet name="Research Information" sheetId="10" r:id="rId3"/>
    <sheet name="English Units" sheetId="4" state="hidden" r:id="rId4"/>
    <sheet name="Metric Units" sheetId="8" state="hidden" r:id="rId5"/>
    <sheet name="Data" sheetId="2" state="hidden" r:id="rId6"/>
  </sheets>
  <definedNames>
    <definedName name="AggProduct">Table7[Product]</definedName>
    <definedName name="Blank">Table6[Blank]</definedName>
    <definedName name="English">#REF!</definedName>
    <definedName name="Metric">#REF!</definedName>
    <definedName name="_xlnm.Print_Area" localSheetId="0">'Construction Mat'!$A$1:$E$59</definedName>
    <definedName name="_xlnm.Print_Area" localSheetId="3">'English Units'!$A$1:$I$48</definedName>
    <definedName name="_xlnm.Print_Area" localSheetId="4">'Metric Units'!$A$1:$I$48</definedName>
    <definedName name="Type">#REF!</definedName>
    <definedName name="VegProduct">#REF!</definedName>
  </definedNames>
  <calcPr calcId="162913" iterateCount="15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A20" i="1"/>
  <c r="A19" i="1"/>
  <c r="C7" i="1" l="1"/>
  <c r="D19" i="1" l="1"/>
  <c r="I53" i="1"/>
  <c r="I52" i="1"/>
  <c r="A30" i="1"/>
  <c r="D24" i="1"/>
  <c r="B1" i="1" l="1"/>
  <c r="C24" i="1"/>
  <c r="A24" i="1" s="1"/>
  <c r="A25" i="1" l="1"/>
  <c r="A27" i="1" l="1"/>
  <c r="C27" i="1" s="1"/>
  <c r="A26" i="1"/>
  <c r="C26" i="1" s="1"/>
  <c r="A32" i="1" l="1"/>
  <c r="J51" i="1"/>
  <c r="G52" i="1"/>
  <c r="D21" i="1"/>
  <c r="A21" i="1"/>
  <c r="C19" i="1"/>
  <c r="C20" i="1" l="1"/>
  <c r="A22" i="1"/>
  <c r="D22" i="1" s="1"/>
  <c r="C11" i="1"/>
  <c r="D18" i="1" l="1"/>
  <c r="A31" i="1" l="1"/>
  <c r="B33" i="9" l="1"/>
  <c r="B32" i="9"/>
  <c r="D17" i="1" l="1"/>
  <c r="D13" i="1" l="1"/>
  <c r="A13" i="1"/>
  <c r="A14" i="1"/>
  <c r="A12" i="1"/>
  <c r="D14" i="1" l="1"/>
  <c r="D12" i="1"/>
  <c r="C13" i="1" l="1"/>
  <c r="G10" i="1" s="1"/>
  <c r="I10" i="1" l="1"/>
  <c r="J10" i="1"/>
  <c r="H10" i="1"/>
  <c r="C12" i="1"/>
  <c r="G9" i="1" l="1"/>
  <c r="J9" i="1" l="1"/>
  <c r="H9" i="1"/>
  <c r="I9" i="1"/>
  <c r="S8" i="8" l="1"/>
  <c r="R8" i="4"/>
  <c r="B2" i="4" l="1"/>
  <c r="D6" i="1" l="1"/>
  <c r="I2" i="8" l="1"/>
  <c r="B2" i="8"/>
  <c r="I2" i="4"/>
  <c r="K15" i="8" l="1"/>
  <c r="O15" i="8" s="1"/>
  <c r="D27" i="8"/>
  <c r="G27" i="8" s="1"/>
  <c r="D27" i="4"/>
  <c r="G27" i="4" s="1"/>
  <c r="B22" i="8"/>
  <c r="C14" i="1"/>
  <c r="E14" i="1" s="1"/>
  <c r="B32" i="4"/>
  <c r="B22" i="4"/>
  <c r="O2" i="8"/>
  <c r="C36" i="8"/>
  <c r="B33" i="8"/>
  <c r="K14" i="8"/>
  <c r="O14" i="8" s="1"/>
  <c r="P13" i="8"/>
  <c r="N13" i="8"/>
  <c r="O12" i="8"/>
  <c r="K12" i="8"/>
  <c r="P14" i="8" s="1"/>
  <c r="P11" i="8"/>
  <c r="N11" i="8"/>
  <c r="O10" i="8"/>
  <c r="K10" i="8"/>
  <c r="P10" i="8" s="1"/>
  <c r="Q9" i="8"/>
  <c r="N9" i="8"/>
  <c r="K6" i="8"/>
  <c r="P6" i="8" s="1"/>
  <c r="C6" i="8"/>
  <c r="G19" i="1" l="1"/>
  <c r="H19" i="1"/>
  <c r="H20" i="1" s="1"/>
  <c r="G11" i="1"/>
  <c r="H27" i="8"/>
  <c r="B31" i="4"/>
  <c r="P12" i="8"/>
  <c r="B31" i="8"/>
  <c r="B32" i="8"/>
  <c r="E5" i="8" s="1"/>
  <c r="D41" i="8"/>
  <c r="G20" i="1" l="1"/>
  <c r="G21" i="1" s="1"/>
  <c r="C21" i="1"/>
  <c r="H23" i="1" s="1"/>
  <c r="H11" i="1"/>
  <c r="H12" i="1" s="1"/>
  <c r="I11" i="1"/>
  <c r="I12" i="1" s="1"/>
  <c r="J11" i="1"/>
  <c r="J12" i="1" s="1"/>
  <c r="G12" i="1"/>
  <c r="S7" i="8"/>
  <c r="S15" i="8" s="1"/>
  <c r="R7" i="4"/>
  <c r="D5" i="8"/>
  <c r="C43" i="8" s="1"/>
  <c r="G23" i="1" l="1"/>
  <c r="G26" i="1" s="1"/>
  <c r="H26" i="1"/>
  <c r="H24" i="1"/>
  <c r="H25" i="1" s="1"/>
  <c r="G13" i="1"/>
  <c r="R15" i="4"/>
  <c r="E6" i="8"/>
  <c r="G24" i="1" l="1"/>
  <c r="G25" i="1" s="1"/>
  <c r="C25" i="1" s="1"/>
  <c r="D25" i="1" s="1"/>
  <c r="O2" i="4"/>
  <c r="G20" i="2"/>
  <c r="C20" i="2"/>
  <c r="F17" i="2"/>
  <c r="G17" i="2" s="1"/>
  <c r="C17" i="2"/>
  <c r="K14" i="2"/>
  <c r="F14" i="2"/>
  <c r="G14" i="2" s="1"/>
  <c r="C14" i="2"/>
  <c r="K11" i="2"/>
  <c r="F11" i="2"/>
  <c r="G11" i="2" s="1"/>
  <c r="C11" i="2"/>
  <c r="K8" i="2"/>
  <c r="F8" i="2"/>
  <c r="G8" i="2" s="1"/>
  <c r="C8" i="2"/>
  <c r="K5" i="2"/>
  <c r="F5" i="2"/>
  <c r="G5" i="2" s="1"/>
  <c r="C5" i="2"/>
  <c r="D41" i="4"/>
  <c r="C36" i="4"/>
  <c r="B33" i="4"/>
  <c r="H27" i="4"/>
  <c r="K15" i="4"/>
  <c r="O15" i="4" s="1"/>
  <c r="P14" i="4"/>
  <c r="K14" i="4"/>
  <c r="O14" i="4" s="1"/>
  <c r="P13" i="4"/>
  <c r="N13" i="4"/>
  <c r="O12" i="4"/>
  <c r="K12" i="4"/>
  <c r="P11" i="4"/>
  <c r="N11" i="4"/>
  <c r="K10" i="4"/>
  <c r="P10" i="4" s="1"/>
  <c r="Q9" i="4"/>
  <c r="N9" i="4"/>
  <c r="K6" i="4"/>
  <c r="P6" i="4" s="1"/>
  <c r="C6" i="4"/>
  <c r="E5" i="4"/>
  <c r="D5" i="4"/>
  <c r="C43" i="4" s="1"/>
  <c r="E46" i="1" l="1"/>
  <c r="E50" i="1"/>
  <c r="E47" i="1"/>
  <c r="E49" i="1"/>
  <c r="E51" i="1" s="1"/>
  <c r="A33" i="1"/>
  <c r="E48" i="1"/>
  <c r="E6" i="4"/>
  <c r="P12" i="4"/>
  <c r="O10" i="4"/>
  <c r="H52" i="1" l="1"/>
  <c r="G53" i="1"/>
  <c r="J53" i="1" s="1"/>
  <c r="R20" i="4" l="1"/>
  <c r="S20" i="4" s="1"/>
  <c r="B19" i="4" s="1"/>
  <c r="C19" i="4" s="1"/>
  <c r="R20" i="8"/>
  <c r="S20" i="8" s="1"/>
  <c r="B19" i="8" s="1"/>
  <c r="L11" i="4" l="1"/>
  <c r="O11" i="4" s="1"/>
  <c r="L13" i="4"/>
  <c r="O13" i="4" s="1"/>
  <c r="L7" i="4"/>
  <c r="L9" i="4"/>
  <c r="O9" i="4" s="1"/>
  <c r="P9" i="4" s="1"/>
  <c r="L11" i="8"/>
  <c r="O11" i="8" s="1"/>
  <c r="L7" i="8"/>
  <c r="C19" i="8"/>
  <c r="L9" i="8"/>
  <c r="O9" i="8" s="1"/>
  <c r="P9" i="8" s="1"/>
  <c r="L13" i="8"/>
  <c r="O13" i="8" s="1"/>
  <c r="C7" i="8" l="1"/>
  <c r="E7" i="8" s="1"/>
  <c r="F7" i="8" s="1"/>
  <c r="G7" i="8" s="1"/>
  <c r="H7" i="8" s="1"/>
  <c r="I7" i="8" s="1"/>
  <c r="D19" i="8"/>
  <c r="N7" i="8"/>
  <c r="O7" i="8" s="1"/>
  <c r="P7" i="8" s="1"/>
  <c r="C31" i="4"/>
  <c r="C31" i="8"/>
  <c r="C7" i="4" l="1"/>
  <c r="E7" i="4" s="1"/>
  <c r="N7" i="4"/>
  <c r="O7" i="4" s="1"/>
  <c r="P7" i="4" s="1"/>
  <c r="F7" i="4" l="1"/>
  <c r="G7" i="4" s="1"/>
  <c r="H7" i="4" s="1"/>
  <c r="I7" i="4" s="1"/>
  <c r="D19" i="4"/>
  <c r="J52" i="1" l="1"/>
  <c r="J54" i="1"/>
  <c r="J55" i="1" l="1"/>
  <c r="C8" i="4"/>
  <c r="C9" i="4" s="1"/>
  <c r="C10" i="4" s="1"/>
  <c r="C11" i="4" s="1"/>
  <c r="C12" i="4" s="1"/>
  <c r="C13" i="4" s="1"/>
  <c r="C14" i="4" s="1"/>
  <c r="K8" i="4"/>
  <c r="O8" i="4" s="1"/>
  <c r="P8" i="4"/>
  <c r="Q8" i="4" s="1"/>
  <c r="C15" i="4"/>
  <c r="E8" i="4" l="1"/>
  <c r="E9" i="4" s="1"/>
  <c r="P15" i="4"/>
  <c r="E23" i="4"/>
  <c r="B26" i="4"/>
  <c r="E28" i="4" s="1"/>
  <c r="D43" i="4"/>
  <c r="F9" i="4" l="1"/>
  <c r="G9" i="4" s="1"/>
  <c r="H9" i="4" s="1"/>
  <c r="I9" i="4" s="1"/>
  <c r="E10" i="4" s="1"/>
  <c r="E11" i="4" s="1"/>
  <c r="F11" i="4" l="1"/>
  <c r="G11" i="4" s="1"/>
  <c r="H11" i="4" s="1"/>
  <c r="I11" i="4" s="1"/>
  <c r="E12" i="4" s="1"/>
  <c r="E13" i="4" l="1"/>
  <c r="F13" i="4" s="1"/>
  <c r="G13" i="4" s="1"/>
  <c r="H13" i="4" s="1"/>
  <c r="I13" i="4" l="1"/>
  <c r="E14" i="4" s="1"/>
  <c r="E15" i="4"/>
  <c r="D40" i="4" l="1"/>
  <c r="D42" i="4" s="1"/>
  <c r="S7" i="4" l="1"/>
  <c r="S8" i="4" s="1"/>
  <c r="E42" i="4"/>
  <c r="S15" i="4"/>
  <c r="S17" i="4" l="1"/>
  <c r="C8" i="8"/>
  <c r="C9" i="8" s="1"/>
  <c r="C10" i="8" s="1"/>
  <c r="C11" i="8" s="1"/>
  <c r="C12" i="8" s="1"/>
  <c r="C13" i="8" s="1"/>
  <c r="C14" i="8" s="1"/>
  <c r="E8" i="8"/>
  <c r="K8" i="8"/>
  <c r="O8" i="8"/>
  <c r="P8" i="8"/>
  <c r="Q8" i="8" s="1"/>
  <c r="C15" i="8"/>
  <c r="E9" i="8" l="1"/>
  <c r="P15" i="8"/>
  <c r="E23" i="8"/>
  <c r="B26" i="8"/>
  <c r="E28" i="8" s="1"/>
  <c r="D43" i="8"/>
  <c r="F9" i="8" l="1"/>
  <c r="G9" i="8" s="1"/>
  <c r="H9" i="8" s="1"/>
  <c r="I9" i="8" s="1"/>
  <c r="E10" i="8" s="1"/>
  <c r="E11" i="8" l="1"/>
  <c r="F11" i="8" l="1"/>
  <c r="G11" i="8" s="1"/>
  <c r="H11" i="8" s="1"/>
  <c r="I11" i="8" s="1"/>
  <c r="E12" i="8" s="1"/>
  <c r="E13" i="8" l="1"/>
  <c r="F13" i="8" l="1"/>
  <c r="G13" i="8" s="1"/>
  <c r="H13" i="8" s="1"/>
  <c r="I13" i="8" s="1"/>
  <c r="E14" i="8" s="1"/>
  <c r="E15" i="8"/>
  <c r="D40" i="8" l="1"/>
  <c r="D42" i="8" s="1"/>
  <c r="R7" i="8" l="1"/>
  <c r="R8" i="8" s="1"/>
  <c r="E42" i="8"/>
  <c r="R15" i="8"/>
  <c r="R17" i="8" l="1"/>
</calcChain>
</file>

<file path=xl/comments1.xml><?xml version="1.0" encoding="utf-8"?>
<comments xmlns="http://schemas.openxmlformats.org/spreadsheetml/2006/main">
  <authors>
    <author>Daniel F Senf</author>
    <author>Justice, Sam</author>
  </authors>
  <commentList>
    <comment ref="B33" authorId="0" shapeId="0">
      <text>
        <r>
          <rPr>
            <b/>
            <sz val="8"/>
            <color indexed="81"/>
            <rFont val="Tahoma"/>
            <family val="2"/>
          </rPr>
          <t>Angle has preference. Enter 0 in angle input cell if H:V ratio is preferred.</t>
        </r>
      </text>
    </comment>
    <comment ref="B34" authorId="1" shapeId="0">
      <text>
        <r>
          <rPr>
            <b/>
            <sz val="9"/>
            <color indexed="81"/>
            <rFont val="Tahoma"/>
            <family val="2"/>
          </rPr>
          <t>Justice, Sam:</t>
        </r>
        <r>
          <rPr>
            <sz val="9"/>
            <color indexed="81"/>
            <rFont val="Tahoma"/>
            <family val="2"/>
          </rPr>
          <t xml:space="preserve">
95% is the acccepted value.  Can be as low as 90%, but it is unlikely.</t>
        </r>
      </text>
    </comment>
    <comment ref="B36" authorId="1" shapeId="0">
      <text>
        <r>
          <rPr>
            <b/>
            <sz val="9"/>
            <color indexed="81"/>
            <rFont val="Tahoma"/>
            <family val="2"/>
          </rPr>
          <t>Justice, Sam:</t>
        </r>
        <r>
          <rPr>
            <sz val="9"/>
            <color indexed="81"/>
            <rFont val="Tahoma"/>
            <family val="2"/>
          </rPr>
          <t xml:space="preserve">
Varies between 2.8 and 6.0
1. Non-woven = 2.8
2. Woven = 3.3 - 6.0 based on strength of woven material
3. HP270 (2600lb/ft) = 3.3 - 3.7
4. HP570 (4800lb/ft) = 4.3 - 5.7</t>
        </r>
      </text>
    </comment>
  </commentList>
</comments>
</file>

<file path=xl/comments2.xml><?xml version="1.0" encoding="utf-8"?>
<comments xmlns="http://schemas.openxmlformats.org/spreadsheetml/2006/main">
  <authors>
    <author>Daniel F Senf</author>
    <author>Justice, Sam</author>
  </authors>
  <commentList>
    <comment ref="B33" authorId="0" shapeId="0">
      <text>
        <r>
          <rPr>
            <b/>
            <sz val="8"/>
            <color indexed="81"/>
            <rFont val="Tahoma"/>
            <family val="2"/>
          </rPr>
          <t>Angle has preference. Enter 0 in angle input cell if H:V ratio is preferred.</t>
        </r>
      </text>
    </comment>
    <comment ref="B34" authorId="1" shapeId="0">
      <text>
        <r>
          <rPr>
            <b/>
            <sz val="9"/>
            <color indexed="81"/>
            <rFont val="Tahoma"/>
            <family val="2"/>
          </rPr>
          <t>Justice, Sam:</t>
        </r>
        <r>
          <rPr>
            <sz val="9"/>
            <color indexed="81"/>
            <rFont val="Tahoma"/>
            <family val="2"/>
          </rPr>
          <t xml:space="preserve">
95% is the acccepted value.  Can be as low as 90%, but it is unlikely.</t>
        </r>
      </text>
    </comment>
    <comment ref="B36" authorId="1" shapeId="0">
      <text>
        <r>
          <rPr>
            <b/>
            <sz val="9"/>
            <color indexed="81"/>
            <rFont val="Tahoma"/>
            <family val="2"/>
          </rPr>
          <t>Justice, Sam:</t>
        </r>
        <r>
          <rPr>
            <sz val="9"/>
            <color indexed="81"/>
            <rFont val="Tahoma"/>
            <family val="2"/>
          </rPr>
          <t xml:space="preserve">
Varies between 2.8 and 6.0
1. Non-woven = 2.8
2. Woven = 3.3 - 6.0 based on strength of woven material
3. HP270 (2600lb/ft) = 3.3 - 3.7
4. HP570 (4800lb/ft) = 4.3 - 5.7</t>
        </r>
      </text>
    </comment>
  </commentList>
</comments>
</file>

<file path=xl/sharedStrings.xml><?xml version="1.0" encoding="utf-8"?>
<sst xmlns="http://schemas.openxmlformats.org/spreadsheetml/2006/main" count="340" uniqueCount="179">
  <si>
    <t>Vehicle</t>
  </si>
  <si>
    <t>H-20</t>
  </si>
  <si>
    <t>H-15</t>
  </si>
  <si>
    <t>H-10</t>
  </si>
  <si>
    <t>Passenger</t>
  </si>
  <si>
    <t>Subgrade Strength Type</t>
  </si>
  <si>
    <t>Surface</t>
  </si>
  <si>
    <t>Vegetated</t>
  </si>
  <si>
    <t>Aggregate</t>
  </si>
  <si>
    <t>Geoweb</t>
  </si>
  <si>
    <t xml:space="preserve"> </t>
  </si>
  <si>
    <t>INPUT PARAMETERS</t>
  </si>
  <si>
    <t>Vehicle Type</t>
  </si>
  <si>
    <t>English or Metric</t>
  </si>
  <si>
    <t>E</t>
  </si>
  <si>
    <t>M</t>
  </si>
  <si>
    <t>CBR</t>
  </si>
  <si>
    <t>Geosystems Product</t>
  </si>
  <si>
    <t>Ground Slope (%)</t>
  </si>
  <si>
    <t>Subgrade Strength Parameter</t>
  </si>
  <si>
    <t>DESIGN GUIDELINES</t>
  </si>
  <si>
    <t>Typical Access Description</t>
  </si>
  <si>
    <t>Notes:</t>
  </si>
  <si>
    <t>Sand</t>
  </si>
  <si>
    <t>Clay</t>
  </si>
  <si>
    <t>Type</t>
  </si>
  <si>
    <t>Blank</t>
  </si>
  <si>
    <t>Prepared Sub Grade</t>
  </si>
  <si>
    <t>STRESS REDUCTION USING GENUINE GEOWEB SYSTEM</t>
  </si>
  <si>
    <t>PROJECT</t>
  </si>
  <si>
    <t>DATE</t>
  </si>
  <si>
    <t>Geoweb System Stress Reduction</t>
  </si>
  <si>
    <t>Layer Type</t>
  </si>
  <si>
    <t>Layer Thickness (in)</t>
  </si>
  <si>
    <t>Depth from Surface (in)</t>
  </si>
  <si>
    <t>Radius of Loaded Area (in)</t>
  </si>
  <si>
    <t>Stress at Bottom of Layer (psi)</t>
  </si>
  <si>
    <t>The Geoweb System Benefit</t>
  </si>
  <si>
    <t>Vertical Stress (psi)</t>
  </si>
  <si>
    <t>Horizontal Stress (psi)</t>
  </si>
  <si>
    <t>Stress Reduction (psi)</t>
  </si>
  <si>
    <t>New Stress under Geoweb (psi)</t>
  </si>
  <si>
    <t>Wear Surface</t>
  </si>
  <si>
    <t>"</t>
  </si>
  <si>
    <t xml:space="preserve"> Wear Surface</t>
  </si>
  <si>
    <t>Geoweb Layer</t>
  </si>
  <si>
    <t xml:space="preserve">Geoweb Layer </t>
  </si>
  <si>
    <t>V</t>
  </si>
  <si>
    <t xml:space="preserve"> Aggregate</t>
  </si>
  <si>
    <t xml:space="preserve"> Layer</t>
  </si>
  <si>
    <t>2nd Geoweb Layer</t>
  </si>
  <si>
    <t>3rd Geoweb Layer</t>
  </si>
  <si>
    <t>4th Geoweb Layer</t>
  </si>
  <si>
    <t>Geotextile</t>
  </si>
  <si>
    <t xml:space="preserve"> Geotextile</t>
  </si>
  <si>
    <t>Geoweb Layers must be either 4, 6 or 8 in.</t>
  </si>
  <si>
    <t>Cell Size</t>
  </si>
  <si>
    <t>Diameter</t>
  </si>
  <si>
    <t>Depth (in)</t>
  </si>
  <si>
    <t>Geoweb Infill</t>
  </si>
  <si>
    <r>
      <t>Unit Weight (lb/ft</t>
    </r>
    <r>
      <rPr>
        <b/>
        <vertAlign val="superscript"/>
        <sz val="10"/>
        <rFont val="Arial"/>
        <family val="2"/>
      </rPr>
      <t>3</t>
    </r>
    <r>
      <rPr>
        <b/>
        <sz val="10"/>
        <rFont val="Arial"/>
        <family val="2"/>
      </rPr>
      <t>)</t>
    </r>
  </si>
  <si>
    <t>Friction Angle</t>
  </si>
  <si>
    <t>Added Stress (psi)</t>
  </si>
  <si>
    <t>Properties</t>
  </si>
  <si>
    <t>Below Geoweb</t>
  </si>
  <si>
    <t>Depth
(in)</t>
  </si>
  <si>
    <t>Shear Strength (psi)</t>
  </si>
  <si>
    <t>Reduced Stress (psi)</t>
  </si>
  <si>
    <t>Other Properties:
CBR</t>
  </si>
  <si>
    <t>Other Properties:
 R Value</t>
  </si>
  <si>
    <t>Excavation</t>
  </si>
  <si>
    <t>Subgrade</t>
  </si>
  <si>
    <t>Required Design Data</t>
  </si>
  <si>
    <t>Wheel Load (lbf)</t>
  </si>
  <si>
    <t>Tire Pressure (psi)</t>
  </si>
  <si>
    <t>Distribution Angle</t>
  </si>
  <si>
    <t>H =</t>
  </si>
  <si>
    <t>V =</t>
  </si>
  <si>
    <t>OR</t>
  </si>
  <si>
    <t>Angle =</t>
  </si>
  <si>
    <t>% Frictional Interaction</t>
  </si>
  <si>
    <t>Geotextile Type</t>
  </si>
  <si>
    <r>
      <t>Bearing Capacity Coefficient (N</t>
    </r>
    <r>
      <rPr>
        <b/>
        <vertAlign val="subscript"/>
        <sz val="10"/>
        <rFont val="Arial"/>
        <family val="2"/>
      </rPr>
      <t>c</t>
    </r>
    <r>
      <rPr>
        <b/>
        <sz val="10"/>
        <rFont val="Arial"/>
        <family val="2"/>
      </rPr>
      <t>)</t>
    </r>
  </si>
  <si>
    <t>Design Factor of Safety</t>
  </si>
  <si>
    <t>Design Results</t>
  </si>
  <si>
    <r>
      <t>Stress on Subgrade per Design, Q</t>
    </r>
    <r>
      <rPr>
        <b/>
        <vertAlign val="subscript"/>
        <sz val="12"/>
        <rFont val="Arial"/>
        <family val="2"/>
      </rPr>
      <t>ultimate</t>
    </r>
    <r>
      <rPr>
        <b/>
        <sz val="10"/>
        <rFont val="Arial"/>
        <family val="2"/>
      </rPr>
      <t xml:space="preserve"> (psi)</t>
    </r>
  </si>
  <si>
    <r>
      <t>Allowable Subgrade Stress, Q</t>
    </r>
    <r>
      <rPr>
        <b/>
        <vertAlign val="subscript"/>
        <sz val="12"/>
        <rFont val="Arial"/>
        <family val="2"/>
      </rPr>
      <t>allowable</t>
    </r>
    <r>
      <rPr>
        <b/>
        <sz val="10"/>
        <rFont val="Arial"/>
        <family val="2"/>
      </rPr>
      <t xml:space="preserve"> (psi)</t>
    </r>
  </si>
  <si>
    <t>Calculated Factor of Safety</t>
  </si>
  <si>
    <t>Reduction in Required Load Depth</t>
  </si>
  <si>
    <t>Limitation of Use:</t>
  </si>
  <si>
    <t>The Evaluation is copyrighted and based on the use of Geoweb® manufactured by Presto Products.  All rights reserved.  Any use of the Evaluation for any geocell product other than that manufactured by Presto Products is strictly prohibited and makes this Evaluation invalid.  Presto Products assumes no liability resulting from the unauthorized use of this Evaluation.  The recommendations in this Evaluation are based on the specific characteristics, structural values and specifications of Geoweb® manufactured by Presto Products.</t>
  </si>
  <si>
    <t>Conversions needed for Designs</t>
  </si>
  <si>
    <t>English to Metric</t>
  </si>
  <si>
    <t>Metric to English</t>
  </si>
  <si>
    <t>Metric to Metric</t>
  </si>
  <si>
    <t>inches</t>
  </si>
  <si>
    <t>to</t>
  </si>
  <si>
    <t>meters</t>
  </si>
  <si>
    <t>kg/m2</t>
  </si>
  <si>
    <t>kPa</t>
  </si>
  <si>
    <t>psi</t>
  </si>
  <si>
    <t>kgf</t>
  </si>
  <si>
    <t>N</t>
  </si>
  <si>
    <t>lbf</t>
  </si>
  <si>
    <t>kN</t>
  </si>
  <si>
    <t>lb/ft3</t>
  </si>
  <si>
    <t>kg/m3</t>
  </si>
  <si>
    <t>lbs</t>
  </si>
  <si>
    <t>lb/ft2</t>
  </si>
  <si>
    <t>kg</t>
  </si>
  <si>
    <t>Units</t>
  </si>
  <si>
    <t>Soil</t>
  </si>
  <si>
    <t>Layer Thickness (m)</t>
  </si>
  <si>
    <t>Depth from Surface (m)</t>
  </si>
  <si>
    <t>Radius of Loaded Area (m)</t>
  </si>
  <si>
    <t>Stress at Bottom of Layer (kPa)</t>
  </si>
  <si>
    <t>Vertical Stress (kPa)</t>
  </si>
  <si>
    <t>Horizontal Stress (kPa)</t>
  </si>
  <si>
    <t>Stress Reduction (kPa)</t>
  </si>
  <si>
    <t>New Stress (kPa)</t>
  </si>
  <si>
    <t xml:space="preserve"> mm</t>
  </si>
  <si>
    <t>Depth (m)</t>
  </si>
  <si>
    <t>Unit Weight (kg/m3)</t>
  </si>
  <si>
    <t>Added Stress (kPa)</t>
  </si>
  <si>
    <t>Depth
(m)</t>
  </si>
  <si>
    <t>Shear Strength (pKa)</t>
  </si>
  <si>
    <t>Reduced Stress (kPa)</t>
  </si>
  <si>
    <t>Wheel Load (kN)</t>
  </si>
  <si>
    <t>Tire Pressure (kPa)</t>
  </si>
  <si>
    <r>
      <t>Stress on Subgrade per Design, Q</t>
    </r>
    <r>
      <rPr>
        <b/>
        <vertAlign val="subscript"/>
        <sz val="12"/>
        <rFont val="Arial"/>
        <family val="2"/>
      </rPr>
      <t>ultimate</t>
    </r>
    <r>
      <rPr>
        <b/>
        <sz val="10"/>
        <rFont val="Arial"/>
        <family val="2"/>
      </rPr>
      <t xml:space="preserve"> (kPa)</t>
    </r>
  </si>
  <si>
    <r>
      <t>Allowable Subgrade Stress, Q</t>
    </r>
    <r>
      <rPr>
        <b/>
        <vertAlign val="subscript"/>
        <sz val="12"/>
        <rFont val="Arial"/>
        <family val="2"/>
      </rPr>
      <t>allowable</t>
    </r>
    <r>
      <rPr>
        <b/>
        <sz val="10"/>
        <rFont val="Arial"/>
        <family val="2"/>
      </rPr>
      <t xml:space="preserve"> (kPa)</t>
    </r>
  </si>
  <si>
    <t>Non-woven</t>
  </si>
  <si>
    <t>TODAY</t>
  </si>
  <si>
    <t>Subgrade Strength Value (%)</t>
  </si>
  <si>
    <t>California Bearing Ratio</t>
  </si>
  <si>
    <t>CBR Correlation Descriptions</t>
  </si>
  <si>
    <t>System</t>
  </si>
  <si>
    <t xml:space="preserve"> Application and Installation Guide for a complete description of the design and construction methods.</t>
  </si>
  <si>
    <t>Input values are in blue</t>
  </si>
  <si>
    <t>Disclaimer: This tool is for use as a guide for design purposes. It is based on the use of products manufactured by Presto Products Company. Any use of this design for any product other than that manufactured by Presto makes this design invalid. A licensed professional should confirm results and integrate as appropriate.</t>
  </si>
  <si>
    <t>0-2</t>
  </si>
  <si>
    <t>3-6</t>
  </si>
  <si>
    <t>7-10</t>
  </si>
  <si>
    <t>&gt;10</t>
  </si>
  <si>
    <t>Sub Grade Soil Type</t>
  </si>
  <si>
    <t>Product</t>
  </si>
  <si>
    <t>Structural Equivalency in Crushed Aggregate</t>
  </si>
  <si>
    <t>qa = Nc x Cu</t>
  </si>
  <si>
    <t>Bearing Capacity Coefficient (Nc) =</t>
  </si>
  <si>
    <t>AASHTO vehicle loading standards. If heavier vehicles are used, input specific values below.</t>
  </si>
  <si>
    <t>Construction Mat</t>
  </si>
  <si>
    <t>Construction Mats Using The</t>
  </si>
  <si>
    <t>To determine the structural requirements for this installation, structural equivalency factors will be used to compare GeoTerra to other solutions.  Structural equivalency factors were determined through field testing conducted in the late 1980’s by Twin Cities Testing Corporation, Appleton, Wisconsin.  The following structural equivalency factors have been used to design GeoTerra platforms and roads for over 20 years and included the following:</t>
  </si>
  <si>
    <t>Further research included large scale cyclic plate loading tests by world renowned geotechnical Professor Jie Han, PhD, University of Kansas:</t>
  </si>
  <si>
    <t>Field Testing:</t>
  </si>
  <si>
    <t>• 2” GeoTerra = 3.06” Asphalt</t>
  </si>
  <si>
    <t>• 2” Asphalt Concrete = 6.4” Crushed Aggregate Base</t>
  </si>
  <si>
    <t>• 2” GeoTerra = 12” Crushed Aggregate Base</t>
  </si>
  <si>
    <t>Lab Testing:</t>
  </si>
  <si>
    <t>• Han, J., PhD., Guo J., Crippen, L., Brady, Z., “Large Scale Cyclic Plate Loading Tests of Lightweight Polyethylene Mats over Poor Subgrade - GeoTerra System”, Research Report, University of Kansas, April 11, 2014.</t>
  </si>
  <si>
    <t>• Han, J., PhD., Guo, Jun, “Large Scale Cyclic Plate Loading Tests of Lightweight Polyethylene Mats over Poor Subgrade - GeoTerra GTO System”, Research Report, University of Kansas, October 15, 2015.</t>
  </si>
  <si>
    <t>Basic Research Information</t>
  </si>
  <si>
    <t>Please contact Presto Geosystems for more information about the research performed and access to testing results and published papers.</t>
  </si>
  <si>
    <t>GeoTerra</t>
  </si>
  <si>
    <t>GeoTerra GTO</t>
  </si>
  <si>
    <t>Enhanced Woven</t>
  </si>
  <si>
    <t xml:space="preserve">2. Refer to the </t>
  </si>
  <si>
    <t>Geotextile (See Note 1)</t>
  </si>
  <si>
    <t>3. Material Descriptions</t>
  </si>
  <si>
    <t>Req'd Agg</t>
  </si>
  <si>
    <t>Thickness W/O "</t>
  </si>
  <si>
    <t>Thickness W/O mm</t>
  </si>
  <si>
    <t>GTO Bolt Connectors (6 per panel) and Driver Tool</t>
  </si>
  <si>
    <t>PadLoc Connection Devices (6 per panel), Lifting Lever, and Torsion Tool</t>
  </si>
  <si>
    <t>1. If the CBR &lt; 3% or has a high silt content (&gt; 15%) and low plasticity (PI &lt; 5%), an enhanced woven geotextile is recommended. Contact Presto for more details (Ph: 800-548-3424).</t>
  </si>
  <si>
    <t>4. If the clay has a high silt content (&gt; 15%), an enhanced woven geotextile may be required. Contact Presto for more details (Ph: 800-548-3424).</t>
  </si>
  <si>
    <t>B. Crushed aggregate base shall be 0.375 to 1.0 (10 to 25 mm).  Engineer of record shall design base stability.</t>
  </si>
  <si>
    <t>PRXXXX - Name</t>
  </si>
  <si>
    <t>A. The units can be driven on empty.  The units can be filled (sand or aggregate) to control expansion due to temperature variations.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</si>
</sst>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m/d/yy;@"/>
    <numFmt numFmtId="165" formatCode="0.00\ \i\n"/>
    <numFmt numFmtId="166" formatCode="0.000"/>
    <numFmt numFmtId="167" formatCode="0.00_);[Red]\(0.00\)"/>
    <numFmt numFmtId="168" formatCode="0.0"/>
    <numFmt numFmtId="169" formatCode="0.0%"/>
    <numFmt numFmtId="170" formatCode="?0.00"/>
  </numFmts>
  <fonts count="39" x14ac:knownFonts="1">
    <font>
      <sz val="11"/>
      <color theme="1"/>
      <name val="Calibri"/>
      <family val="2"/>
      <scheme val="minor"/>
    </font>
    <font>
      <sz val="10"/>
      <name val="Arial"/>
      <family val="2"/>
    </font>
    <font>
      <b/>
      <sz val="12"/>
      <name val="Arial"/>
      <family val="2"/>
    </font>
    <font>
      <b/>
      <sz val="12"/>
      <color indexed="12"/>
      <name val="Arial"/>
      <family val="2"/>
    </font>
    <font>
      <b/>
      <sz val="12"/>
      <color indexed="8"/>
      <name val="Arial"/>
      <family val="2"/>
    </font>
    <font>
      <sz val="11"/>
      <color indexed="8"/>
      <name val="Calibri"/>
      <family val="2"/>
      <scheme val="minor"/>
    </font>
    <font>
      <sz val="11"/>
      <name val="Calibri"/>
      <family val="2"/>
      <scheme val="minor"/>
    </font>
    <font>
      <sz val="11"/>
      <color rgb="FF0000FF"/>
      <name val="Calibri"/>
      <family val="2"/>
      <scheme val="minor"/>
    </font>
    <font>
      <sz val="9"/>
      <color theme="1"/>
      <name val="Calibri"/>
      <family val="2"/>
      <scheme val="minor"/>
    </font>
    <font>
      <sz val="10"/>
      <name val="Arial"/>
      <family val="2"/>
    </font>
    <font>
      <b/>
      <sz val="14"/>
      <color indexed="12"/>
      <name val="Arial"/>
      <family val="2"/>
    </font>
    <font>
      <b/>
      <sz val="16"/>
      <color indexed="12"/>
      <name val="Arial"/>
      <family val="2"/>
    </font>
    <font>
      <sz val="14"/>
      <name val="Arial"/>
      <family val="2"/>
    </font>
    <font>
      <b/>
      <sz val="10"/>
      <name val="Arial"/>
      <family val="2"/>
    </font>
    <font>
      <sz val="10"/>
      <color indexed="12"/>
      <name val="Arial"/>
      <family val="2"/>
    </font>
    <font>
      <b/>
      <sz val="10"/>
      <color indexed="10"/>
      <name val="Arial"/>
      <family val="2"/>
    </font>
    <font>
      <b/>
      <vertAlign val="superscript"/>
      <sz val="10"/>
      <name val="Arial"/>
      <family val="2"/>
    </font>
    <font>
      <sz val="10"/>
      <color rgb="FF0000FF"/>
      <name val="Arial"/>
      <family val="2"/>
    </font>
    <font>
      <b/>
      <sz val="8"/>
      <color indexed="10"/>
      <name val="Arial"/>
      <family val="2"/>
    </font>
    <font>
      <b/>
      <sz val="10"/>
      <color indexed="12"/>
      <name val="Arial"/>
      <family val="2"/>
    </font>
    <font>
      <b/>
      <vertAlign val="subscript"/>
      <sz val="10"/>
      <name val="Arial"/>
      <family val="2"/>
    </font>
    <font>
      <sz val="10"/>
      <color theme="0"/>
      <name val="Arial"/>
      <family val="2"/>
    </font>
    <font>
      <b/>
      <vertAlign val="subscript"/>
      <sz val="12"/>
      <name val="Arial"/>
      <family val="2"/>
    </font>
    <font>
      <sz val="12"/>
      <name val="Arial"/>
      <family val="2"/>
    </font>
    <font>
      <b/>
      <sz val="8"/>
      <color indexed="81"/>
      <name val="Tahoma"/>
      <family val="2"/>
    </font>
    <font>
      <b/>
      <sz val="9"/>
      <color indexed="81"/>
      <name val="Tahoma"/>
      <family val="2"/>
    </font>
    <font>
      <sz val="9"/>
      <color indexed="81"/>
      <name val="Tahoma"/>
      <family val="2"/>
    </font>
    <font>
      <b/>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u/>
      <sz val="11"/>
      <color theme="10"/>
      <name val="Calibri"/>
      <family val="2"/>
      <scheme val="minor"/>
    </font>
    <font>
      <u/>
      <sz val="9"/>
      <color rgb="FF0000FF"/>
      <name val="Calibri"/>
      <family val="2"/>
      <scheme val="minor"/>
    </font>
    <font>
      <u/>
      <sz val="11"/>
      <color rgb="FF0000FF"/>
      <name val="Calibri"/>
      <family val="2"/>
      <scheme val="minor"/>
    </font>
    <font>
      <sz val="7"/>
      <color theme="1"/>
      <name val="Calibri"/>
      <family val="2"/>
      <scheme val="minor"/>
    </font>
    <font>
      <sz val="11"/>
      <color theme="0"/>
      <name val="Calibri"/>
      <family val="2"/>
      <scheme val="minor"/>
    </font>
    <font>
      <b/>
      <sz val="16"/>
      <color theme="1"/>
      <name val="Arial"/>
      <family val="2"/>
    </font>
    <font>
      <b/>
      <u/>
      <sz val="14"/>
      <color theme="1"/>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indexed="4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diagonalUp="1" diagonalDown="1">
      <left style="thin">
        <color indexed="64"/>
      </left>
      <right/>
      <top style="medium">
        <color indexed="64"/>
      </top>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left style="thin">
        <color indexed="64"/>
      </left>
      <right style="thin">
        <color indexed="64"/>
      </right>
      <top/>
      <bottom/>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5">
    <xf numFmtId="0" fontId="0" fillId="0" borderId="0"/>
    <xf numFmtId="0" fontId="9" fillId="0" borderId="0"/>
    <xf numFmtId="9"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cellStyleXfs>
  <cellXfs count="302">
    <xf numFmtId="0" fontId="0" fillId="0" borderId="0" xfId="0"/>
    <xf numFmtId="0" fontId="1" fillId="0" borderId="0" xfId="0" applyFont="1"/>
    <xf numFmtId="0" fontId="0" fillId="0" borderId="0" xfId="0" applyAlignment="1">
      <alignment horizontal="center"/>
    </xf>
    <xf numFmtId="0" fontId="0" fillId="0" borderId="0" xfId="0" applyAlignment="1"/>
    <xf numFmtId="0" fontId="0" fillId="0" borderId="0" xfId="0" applyAlignment="1">
      <alignment vertical="center"/>
    </xf>
    <xf numFmtId="0" fontId="0" fillId="0" borderId="0" xfId="0" applyAlignment="1">
      <alignment horizontal="center" vertical="center"/>
    </xf>
    <xf numFmtId="0" fontId="0" fillId="0" borderId="0" xfId="0" applyAlignment="1">
      <alignment vertical="top" wrapText="1"/>
    </xf>
    <xf numFmtId="2" fontId="0" fillId="0" borderId="0" xfId="0" applyNumberFormat="1"/>
    <xf numFmtId="1" fontId="0" fillId="0" borderId="0" xfId="0" applyNumberFormat="1" applyAlignment="1">
      <alignment horizontal="center"/>
    </xf>
    <xf numFmtId="1" fontId="0" fillId="0" borderId="0" xfId="0" applyNumberFormat="1" applyAlignment="1">
      <alignment horizontal="center" vertical="center"/>
    </xf>
    <xf numFmtId="0" fontId="8" fillId="0" borderId="0" xfId="0" applyFont="1"/>
    <xf numFmtId="0" fontId="0" fillId="0" borderId="0" xfId="0" applyAlignment="1">
      <alignment horizontal="left"/>
    </xf>
    <xf numFmtId="0" fontId="10" fillId="0" borderId="0" xfId="1" applyFont="1" applyAlignment="1" applyProtection="1">
      <alignment horizontal="center"/>
    </xf>
    <xf numFmtId="0" fontId="9" fillId="0" borderId="0" xfId="1"/>
    <xf numFmtId="0" fontId="2" fillId="2" borderId="0" xfId="1" applyFont="1" applyFill="1" applyAlignment="1" applyProtection="1">
      <alignment horizontal="left" vertical="center"/>
      <protection hidden="1"/>
    </xf>
    <xf numFmtId="0" fontId="2" fillId="2" borderId="0" xfId="1" applyFont="1" applyFill="1" applyAlignment="1" applyProtection="1">
      <alignment horizontal="right" vertical="center"/>
      <protection hidden="1"/>
    </xf>
    <xf numFmtId="0" fontId="12" fillId="0" borderId="0" xfId="1" applyFont="1" applyAlignment="1">
      <alignment vertical="center"/>
    </xf>
    <xf numFmtId="0" fontId="1" fillId="0" borderId="0" xfId="1" applyFont="1" applyAlignment="1">
      <alignment horizontal="left" vertical="center"/>
    </xf>
    <xf numFmtId="0" fontId="12" fillId="0" borderId="0" xfId="1" applyFont="1" applyAlignment="1">
      <alignment horizontal="left" vertical="center"/>
    </xf>
    <xf numFmtId="0" fontId="13" fillId="0" borderId="0" xfId="1" applyFont="1" applyBorder="1" applyAlignment="1">
      <alignment wrapText="1"/>
    </xf>
    <xf numFmtId="0" fontId="13" fillId="0" borderId="0" xfId="1" applyFont="1" applyBorder="1" applyAlignment="1">
      <alignment horizontal="left" wrapText="1"/>
    </xf>
    <xf numFmtId="0" fontId="13" fillId="0" borderId="16" xfId="1" applyFont="1" applyBorder="1" applyAlignment="1" applyProtection="1">
      <alignment horizontal="center" wrapText="1"/>
      <protection hidden="1"/>
    </xf>
    <xf numFmtId="0" fontId="13" fillId="0" borderId="17" xfId="1" applyFont="1" applyBorder="1" applyAlignment="1" applyProtection="1">
      <alignment horizontal="center" wrapText="1"/>
      <protection hidden="1"/>
    </xf>
    <xf numFmtId="0" fontId="13" fillId="0" borderId="0" xfId="1" applyFont="1" applyAlignment="1">
      <alignment wrapText="1"/>
    </xf>
    <xf numFmtId="0" fontId="13" fillId="0" borderId="0" xfId="1" applyFont="1" applyAlignment="1">
      <alignment horizontal="left" wrapText="1"/>
    </xf>
    <xf numFmtId="0" fontId="13" fillId="0" borderId="18" xfId="1" applyFont="1" applyBorder="1" applyAlignment="1" applyProtection="1">
      <alignment vertical="center" wrapText="1"/>
      <protection hidden="1"/>
    </xf>
    <xf numFmtId="2" fontId="1" fillId="0" borderId="19" xfId="1" applyNumberFormat="1" applyFont="1" applyBorder="1" applyAlignment="1" applyProtection="1">
      <alignment horizontal="center" vertical="center" wrapText="1"/>
      <protection hidden="1"/>
    </xf>
    <xf numFmtId="2" fontId="1" fillId="0" borderId="0" xfId="1" applyNumberFormat="1" applyFont="1" applyBorder="1" applyAlignment="1" applyProtection="1">
      <alignment horizontal="center" vertical="center" wrapText="1"/>
      <protection hidden="1"/>
    </xf>
    <xf numFmtId="2" fontId="9" fillId="0" borderId="0" xfId="1" applyNumberFormat="1" applyBorder="1" applyAlignment="1" applyProtection="1">
      <alignment horizontal="center" vertical="center"/>
      <protection hidden="1"/>
    </xf>
    <xf numFmtId="0" fontId="1" fillId="0" borderId="20" xfId="1" applyFont="1" applyBorder="1" applyAlignment="1" applyProtection="1">
      <alignment horizontal="center" vertical="center" wrapText="1"/>
      <protection hidden="1"/>
    </xf>
    <xf numFmtId="0" fontId="1" fillId="0" borderId="21" xfId="1" applyFont="1" applyBorder="1" applyAlignment="1" applyProtection="1">
      <alignment horizontal="center" vertical="center" wrapText="1"/>
      <protection hidden="1"/>
    </xf>
    <xf numFmtId="0" fontId="1" fillId="0" borderId="0" xfId="1" applyFont="1" applyAlignment="1">
      <alignment wrapText="1"/>
    </xf>
    <xf numFmtId="0" fontId="1" fillId="0" borderId="0" xfId="1" applyFont="1" applyAlignment="1">
      <alignment horizontal="left" wrapText="1"/>
    </xf>
    <xf numFmtId="0" fontId="13" fillId="0" borderId="22" xfId="1" applyFont="1" applyBorder="1" applyAlignment="1" applyProtection="1">
      <alignment vertical="center" wrapText="1"/>
      <protection hidden="1"/>
    </xf>
    <xf numFmtId="2" fontId="14" fillId="0" borderId="0" xfId="1" applyNumberFormat="1" applyFont="1" applyBorder="1" applyAlignment="1" applyProtection="1">
      <alignment horizontal="center" vertical="center" wrapText="1"/>
      <protection locked="0"/>
    </xf>
    <xf numFmtId="2" fontId="1" fillId="0" borderId="0" xfId="1" applyNumberFormat="1" applyFont="1" applyBorder="1" applyAlignment="1" applyProtection="1">
      <alignment horizontal="center" vertical="center"/>
      <protection hidden="1"/>
    </xf>
    <xf numFmtId="0" fontId="1" fillId="0" borderId="23" xfId="1" applyFont="1" applyBorder="1" applyAlignment="1" applyProtection="1">
      <alignment horizontal="center" vertical="center" wrapText="1"/>
      <protection hidden="1"/>
    </xf>
    <xf numFmtId="0" fontId="9" fillId="0" borderId="23" xfId="1" applyBorder="1" applyAlignment="1" applyProtection="1">
      <alignment horizontal="center" vertical="center"/>
      <protection hidden="1"/>
    </xf>
    <xf numFmtId="0" fontId="9" fillId="0" borderId="24" xfId="1" applyBorder="1" applyAlignment="1" applyProtection="1">
      <alignment horizontal="center" vertical="center"/>
      <protection hidden="1"/>
    </xf>
    <xf numFmtId="0" fontId="1" fillId="0" borderId="0" xfId="1" quotePrefix="1" applyFont="1" applyAlignment="1">
      <alignment horizontal="left"/>
    </xf>
    <xf numFmtId="2" fontId="9" fillId="0" borderId="5" xfId="1" applyNumberFormat="1" applyBorder="1" applyAlignment="1" applyProtection="1">
      <alignment horizontal="center" vertical="center"/>
      <protection hidden="1"/>
    </xf>
    <xf numFmtId="0" fontId="15" fillId="0" borderId="0" xfId="1" applyFont="1" applyBorder="1" applyAlignment="1" applyProtection="1">
      <alignment horizontal="left" vertical="center" wrapText="1"/>
      <protection hidden="1"/>
    </xf>
    <xf numFmtId="2" fontId="1" fillId="0" borderId="0" xfId="1" quotePrefix="1" applyNumberFormat="1" applyFont="1" applyAlignment="1">
      <alignment horizontal="left"/>
    </xf>
    <xf numFmtId="0" fontId="13" fillId="0" borderId="14" xfId="1" applyFont="1" applyBorder="1" applyAlignment="1" applyProtection="1">
      <alignment vertical="center" wrapText="1"/>
      <protection hidden="1"/>
    </xf>
    <xf numFmtId="2" fontId="1" fillId="0" borderId="25" xfId="1" applyNumberFormat="1" applyFont="1" applyBorder="1" applyAlignment="1" applyProtection="1">
      <alignment horizontal="center" vertical="center" wrapText="1"/>
      <protection hidden="1"/>
    </xf>
    <xf numFmtId="2" fontId="9" fillId="0" borderId="7" xfId="1" applyNumberFormat="1" applyBorder="1" applyAlignment="1" applyProtection="1">
      <alignment horizontal="center" vertical="center"/>
      <protection hidden="1"/>
    </xf>
    <xf numFmtId="2" fontId="1" fillId="0" borderId="7" xfId="1" applyNumberFormat="1" applyFont="1" applyFill="1" applyBorder="1" applyAlignment="1" applyProtection="1">
      <alignment horizontal="center" vertical="center" wrapText="1"/>
      <protection hidden="1"/>
    </xf>
    <xf numFmtId="0" fontId="9" fillId="0" borderId="26" xfId="1" applyBorder="1" applyAlignment="1" applyProtection="1">
      <alignment horizontal="center" vertical="center"/>
      <protection hidden="1"/>
    </xf>
    <xf numFmtId="0" fontId="9" fillId="0" borderId="27" xfId="1" applyBorder="1" applyAlignment="1" applyProtection="1">
      <alignment horizontal="center" vertical="center"/>
      <protection hidden="1"/>
    </xf>
    <xf numFmtId="0" fontId="13" fillId="0" borderId="0" xfId="1" applyFont="1" applyBorder="1" applyAlignment="1" applyProtection="1">
      <alignment vertical="center" wrapText="1"/>
      <protection hidden="1"/>
    </xf>
    <xf numFmtId="0" fontId="9" fillId="0" borderId="0" xfId="1" applyBorder="1" applyAlignment="1" applyProtection="1">
      <alignment horizontal="center" vertical="center"/>
      <protection hidden="1"/>
    </xf>
    <xf numFmtId="0" fontId="13" fillId="0" borderId="28" xfId="1" applyFont="1" applyBorder="1" applyAlignment="1" applyProtection="1">
      <alignment horizontal="left" vertical="center" wrapText="1"/>
      <protection hidden="1"/>
    </xf>
    <xf numFmtId="0" fontId="13" fillId="0" borderId="29" xfId="1" applyFont="1" applyBorder="1" applyAlignment="1" applyProtection="1">
      <alignment horizontal="center" vertical="center" wrapText="1"/>
      <protection hidden="1"/>
    </xf>
    <xf numFmtId="0" fontId="15" fillId="0" borderId="29" xfId="1" applyFont="1" applyBorder="1" applyAlignment="1" applyProtection="1">
      <alignment horizontal="left" vertical="center" wrapText="1"/>
      <protection hidden="1"/>
    </xf>
    <xf numFmtId="0" fontId="9" fillId="0" borderId="29" xfId="1" applyBorder="1" applyAlignment="1" applyProtection="1">
      <alignment horizontal="center" vertical="center"/>
      <protection hidden="1"/>
    </xf>
    <xf numFmtId="0" fontId="9" fillId="0" borderId="30" xfId="1" applyBorder="1" applyAlignment="1" applyProtection="1">
      <alignment horizontal="center" vertical="center"/>
      <protection hidden="1"/>
    </xf>
    <xf numFmtId="0" fontId="13" fillId="0" borderId="14" xfId="1" applyFont="1" applyBorder="1" applyAlignment="1" applyProtection="1">
      <alignment horizontal="left" vertical="center" wrapText="1"/>
      <protection hidden="1"/>
    </xf>
    <xf numFmtId="0" fontId="1" fillId="0" borderId="7" xfId="1" applyFont="1" applyBorder="1" applyAlignment="1" applyProtection="1">
      <alignment horizontal="center" vertical="center" wrapText="1"/>
      <protection hidden="1"/>
    </xf>
    <xf numFmtId="165" fontId="1" fillId="0" borderId="7" xfId="1" applyNumberFormat="1" applyFont="1" applyBorder="1" applyAlignment="1" applyProtection="1">
      <alignment horizontal="center" vertical="center"/>
      <protection hidden="1"/>
    </xf>
    <xf numFmtId="2" fontId="1" fillId="0" borderId="7" xfId="1" applyNumberFormat="1" applyFont="1" applyBorder="1" applyAlignment="1" applyProtection="1">
      <alignment horizontal="center" vertical="center" wrapText="1"/>
      <protection hidden="1"/>
    </xf>
    <xf numFmtId="0" fontId="15" fillId="0" borderId="7" xfId="1" applyFont="1" applyBorder="1" applyAlignment="1" applyProtection="1">
      <alignment horizontal="left" vertical="center" wrapText="1"/>
      <protection hidden="1"/>
    </xf>
    <xf numFmtId="0" fontId="9" fillId="0" borderId="7" xfId="1" applyBorder="1" applyAlignment="1" applyProtection="1">
      <alignment horizontal="center" vertical="center"/>
      <protection hidden="1"/>
    </xf>
    <xf numFmtId="0" fontId="9" fillId="0" borderId="8" xfId="1" applyBorder="1" applyAlignment="1" applyProtection="1">
      <alignment horizontal="center" vertical="center"/>
      <protection hidden="1"/>
    </xf>
    <xf numFmtId="0" fontId="13" fillId="0" borderId="28" xfId="1" applyFont="1" applyBorder="1" applyAlignment="1" applyProtection="1">
      <alignment vertical="center" wrapText="1"/>
      <protection hidden="1"/>
    </xf>
    <xf numFmtId="0" fontId="13" fillId="0" borderId="18" xfId="1" applyFont="1" applyBorder="1" applyAlignment="1" applyProtection="1">
      <alignment horizontal="left" vertical="center" wrapText="1"/>
      <protection hidden="1"/>
    </xf>
    <xf numFmtId="0" fontId="9" fillId="0" borderId="0" xfId="1" applyBorder="1" applyAlignment="1">
      <alignment horizontal="center"/>
    </xf>
    <xf numFmtId="0" fontId="9" fillId="0" borderId="5" xfId="1" applyBorder="1" applyAlignment="1" applyProtection="1">
      <alignment horizontal="center" vertical="center"/>
      <protection hidden="1"/>
    </xf>
    <xf numFmtId="0" fontId="17" fillId="0" borderId="7" xfId="1" applyFont="1" applyBorder="1" applyAlignment="1">
      <alignment horizontal="center" wrapText="1"/>
    </xf>
    <xf numFmtId="3" fontId="14" fillId="0" borderId="7" xfId="1" applyNumberFormat="1" applyFont="1" applyBorder="1" applyAlignment="1" applyProtection="1">
      <alignment horizontal="center" vertical="center" wrapText="1"/>
      <protection locked="0"/>
    </xf>
    <xf numFmtId="2" fontId="9" fillId="0" borderId="7" xfId="1" applyNumberFormat="1" applyFill="1" applyBorder="1" applyAlignment="1" applyProtection="1">
      <alignment horizontal="center" vertical="center"/>
      <protection hidden="1"/>
    </xf>
    <xf numFmtId="0" fontId="18" fillId="0" borderId="0" xfId="1" applyFont="1" applyBorder="1" applyAlignment="1" applyProtection="1">
      <alignment vertical="center" wrapText="1"/>
    </xf>
    <xf numFmtId="2" fontId="9" fillId="0" borderId="0" xfId="1" applyNumberFormat="1" applyAlignment="1" applyProtection="1">
      <alignment horizontal="center" vertical="center"/>
      <protection hidden="1"/>
    </xf>
    <xf numFmtId="0" fontId="14" fillId="0" borderId="0" xfId="1" applyFont="1" applyBorder="1" applyAlignment="1" applyProtection="1">
      <alignment vertical="top" wrapText="1"/>
      <protection locked="0"/>
    </xf>
    <xf numFmtId="0" fontId="14" fillId="0" borderId="5" xfId="1" applyFont="1" applyBorder="1" applyAlignment="1" applyProtection="1">
      <alignment vertical="top" wrapText="1"/>
      <protection locked="0"/>
    </xf>
    <xf numFmtId="10" fontId="13" fillId="0" borderId="0" xfId="2" applyNumberFormat="1" applyFont="1" applyBorder="1" applyAlignment="1" applyProtection="1">
      <alignment horizontal="center" vertical="center"/>
      <protection hidden="1"/>
    </xf>
    <xf numFmtId="0" fontId="13" fillId="0" borderId="0" xfId="1" applyFont="1" applyBorder="1" applyAlignment="1" applyProtection="1">
      <alignment horizontal="right" vertical="center"/>
      <protection hidden="1"/>
    </xf>
    <xf numFmtId="2" fontId="13" fillId="0" borderId="0" xfId="1" applyNumberFormat="1" applyFont="1" applyBorder="1" applyAlignment="1" applyProtection="1">
      <alignment horizontal="center" vertical="center"/>
      <protection hidden="1"/>
    </xf>
    <xf numFmtId="0" fontId="9" fillId="0" borderId="5" xfId="1" applyBorder="1" applyAlignment="1">
      <alignment horizontal="center"/>
    </xf>
    <xf numFmtId="0" fontId="14" fillId="0" borderId="7" xfId="1" applyFont="1" applyBorder="1" applyAlignment="1" applyProtection="1">
      <alignment horizontal="center" vertical="center" wrapText="1"/>
    </xf>
    <xf numFmtId="166" fontId="14" fillId="0" borderId="7" xfId="1" applyNumberFormat="1" applyFont="1" applyBorder="1" applyAlignment="1" applyProtection="1">
      <alignment horizontal="center" vertical="center"/>
      <protection locked="0"/>
    </xf>
    <xf numFmtId="167" fontId="9" fillId="0" borderId="7" xfId="1" applyNumberFormat="1" applyFill="1" applyBorder="1" applyAlignment="1" applyProtection="1">
      <alignment horizontal="center" vertical="center"/>
      <protection hidden="1"/>
    </xf>
    <xf numFmtId="0" fontId="14" fillId="0" borderId="7" xfId="1" applyFont="1" applyBorder="1" applyAlignment="1" applyProtection="1">
      <alignment vertical="top" wrapText="1"/>
      <protection locked="0"/>
    </xf>
    <xf numFmtId="0" fontId="14" fillId="0" borderId="8" xfId="1" applyFont="1" applyBorder="1" applyAlignment="1" applyProtection="1">
      <alignment vertical="top" wrapText="1"/>
      <protection locked="0"/>
    </xf>
    <xf numFmtId="0" fontId="14" fillId="0" borderId="0" xfId="1" applyFont="1" applyBorder="1" applyAlignment="1" applyProtection="1">
      <alignment horizontal="center" vertical="center" wrapText="1"/>
    </xf>
    <xf numFmtId="0" fontId="14" fillId="0" borderId="0" xfId="1" applyFont="1" applyAlignment="1" applyProtection="1">
      <alignment horizontal="center" vertical="center"/>
    </xf>
    <xf numFmtId="0" fontId="9" fillId="0" borderId="0" xfId="1" applyAlignment="1" applyProtection="1">
      <alignment horizontal="center" vertical="center"/>
      <protection hidden="1"/>
    </xf>
    <xf numFmtId="0" fontId="13" fillId="0" borderId="28" xfId="1" applyFont="1" applyFill="1" applyBorder="1" applyAlignment="1" applyProtection="1">
      <alignment vertical="center" wrapText="1"/>
      <protection hidden="1"/>
    </xf>
    <xf numFmtId="0" fontId="9" fillId="0" borderId="31" xfId="1" applyFill="1" applyBorder="1" applyAlignment="1" applyProtection="1">
      <alignment vertical="center" wrapText="1"/>
      <protection hidden="1"/>
    </xf>
    <xf numFmtId="0" fontId="9" fillId="0" borderId="29" xfId="1" applyFill="1" applyBorder="1" applyAlignment="1" applyProtection="1">
      <alignment vertical="center" wrapText="1"/>
      <protection hidden="1"/>
    </xf>
    <xf numFmtId="0" fontId="9" fillId="0" borderId="30" xfId="1" applyFill="1" applyBorder="1" applyAlignment="1" applyProtection="1">
      <alignment vertical="center" wrapText="1"/>
      <protection hidden="1"/>
    </xf>
    <xf numFmtId="0" fontId="9" fillId="0" borderId="0" xfId="1" applyFill="1"/>
    <xf numFmtId="0" fontId="9" fillId="0" borderId="7" xfId="1" applyBorder="1" applyAlignment="1">
      <alignment horizontal="center"/>
    </xf>
    <xf numFmtId="0" fontId="9" fillId="0" borderId="0" xfId="1" applyAlignment="1">
      <alignment vertical="top" wrapText="1"/>
    </xf>
    <xf numFmtId="0" fontId="13" fillId="0" borderId="31" xfId="1" applyFont="1" applyBorder="1" applyAlignment="1">
      <alignment horizontal="left"/>
    </xf>
    <xf numFmtId="0" fontId="13" fillId="0" borderId="29" xfId="1" applyFont="1" applyBorder="1" applyAlignment="1">
      <alignment horizontal="left"/>
    </xf>
    <xf numFmtId="0" fontId="13" fillId="0" borderId="30" xfId="1" applyFont="1" applyBorder="1" applyAlignment="1">
      <alignment horizontal="left"/>
    </xf>
    <xf numFmtId="2" fontId="9" fillId="0" borderId="32" xfId="1" applyNumberFormat="1" applyBorder="1" applyAlignment="1" applyProtection="1">
      <alignment horizontal="center" vertical="center"/>
      <protection hidden="1"/>
    </xf>
    <xf numFmtId="170" fontId="13" fillId="0" borderId="32" xfId="1" applyNumberFormat="1" applyFont="1" applyBorder="1" applyAlignment="1" applyProtection="1">
      <alignment horizontal="center" vertical="center"/>
      <protection hidden="1"/>
    </xf>
    <xf numFmtId="0" fontId="1" fillId="0" borderId="0" xfId="1" applyFont="1"/>
    <xf numFmtId="168" fontId="1" fillId="0" borderId="0" xfId="1" applyNumberFormat="1" applyFont="1" applyAlignment="1">
      <alignment horizontal="center"/>
    </xf>
    <xf numFmtId="170" fontId="13" fillId="0" borderId="0" xfId="1" applyNumberFormat="1" applyFont="1" applyBorder="1" applyAlignment="1" applyProtection="1">
      <alignment horizontal="center" vertical="center"/>
      <protection hidden="1"/>
    </xf>
    <xf numFmtId="0" fontId="13" fillId="0" borderId="6" xfId="1" applyFont="1" applyBorder="1" applyAlignment="1" applyProtection="1">
      <alignment vertical="center"/>
      <protection hidden="1"/>
    </xf>
    <xf numFmtId="0" fontId="13" fillId="0" borderId="7" xfId="1" applyFont="1" applyBorder="1" applyAlignment="1" applyProtection="1">
      <alignment vertical="center"/>
      <protection hidden="1"/>
    </xf>
    <xf numFmtId="170" fontId="13" fillId="3" borderId="7" xfId="1" applyNumberFormat="1" applyFont="1" applyFill="1" applyBorder="1" applyAlignment="1" applyProtection="1">
      <alignment horizontal="center" vertical="center"/>
      <protection hidden="1"/>
    </xf>
    <xf numFmtId="0" fontId="15" fillId="0" borderId="7" xfId="1" applyFont="1" applyBorder="1" applyAlignment="1" applyProtection="1">
      <alignment vertical="center"/>
      <protection hidden="1"/>
    </xf>
    <xf numFmtId="0" fontId="15" fillId="0" borderId="8" xfId="1" applyFont="1" applyBorder="1" applyAlignment="1" applyProtection="1">
      <alignment vertical="center"/>
      <protection hidden="1"/>
    </xf>
    <xf numFmtId="0" fontId="1" fillId="0" borderId="0" xfId="1" applyFont="1" applyBorder="1" applyAlignment="1" applyProtection="1">
      <alignment vertical="top" wrapText="1"/>
      <protection hidden="1"/>
    </xf>
    <xf numFmtId="0" fontId="13" fillId="0" borderId="6" xfId="1" applyFont="1" applyBorder="1"/>
    <xf numFmtId="168" fontId="21" fillId="0" borderId="7" xfId="1" applyNumberFormat="1" applyFont="1" applyBorder="1" applyAlignment="1" applyProtection="1">
      <alignment horizontal="center"/>
    </xf>
    <xf numFmtId="9" fontId="13" fillId="0" borderId="7" xfId="2" applyFont="1" applyBorder="1" applyAlignment="1">
      <alignment horizontal="center"/>
    </xf>
    <xf numFmtId="0" fontId="9" fillId="0" borderId="8" xfId="1" applyBorder="1" applyAlignment="1">
      <alignment horizontal="center"/>
    </xf>
    <xf numFmtId="0" fontId="13" fillId="0" borderId="0" xfId="1" applyFont="1" applyAlignment="1" applyProtection="1">
      <alignment vertical="center" wrapText="1"/>
      <protection hidden="1"/>
    </xf>
    <xf numFmtId="0" fontId="9" fillId="0" borderId="0" xfId="1" applyAlignment="1" applyProtection="1">
      <alignment horizontal="center" vertical="center" wrapText="1"/>
      <protection hidden="1"/>
    </xf>
    <xf numFmtId="0" fontId="2" fillId="0" borderId="0" xfId="1" applyFont="1" applyAlignment="1"/>
    <xf numFmtId="0" fontId="9" fillId="0" borderId="0" xfId="1" applyAlignment="1">
      <alignment horizontal="center"/>
    </xf>
    <xf numFmtId="0" fontId="2" fillId="0" borderId="0" xfId="1" applyFont="1" applyAlignment="1">
      <alignment horizontal="left" indent="8"/>
    </xf>
    <xf numFmtId="0" fontId="23" fillId="0" borderId="0" xfId="1" applyNumberFormat="1" applyFont="1" applyBorder="1" applyAlignment="1" applyProtection="1">
      <alignment horizontal="left"/>
    </xf>
    <xf numFmtId="0" fontId="13" fillId="0" borderId="0" xfId="1" applyFont="1"/>
    <xf numFmtId="0" fontId="9" fillId="0" borderId="0" xfId="1" applyAlignment="1">
      <alignment vertical="center"/>
    </xf>
    <xf numFmtId="0" fontId="9" fillId="2" borderId="0" xfId="1" applyFill="1" applyAlignment="1" applyProtection="1">
      <alignment horizontal="center" vertical="center"/>
    </xf>
    <xf numFmtId="0" fontId="19" fillId="0" borderId="0" xfId="1" applyFont="1" applyFill="1" applyAlignment="1" applyProtection="1">
      <alignment horizontal="center" vertical="center"/>
    </xf>
    <xf numFmtId="0" fontId="9" fillId="0" borderId="0" xfId="1" applyFill="1" applyAlignment="1" applyProtection="1">
      <alignment horizontal="center" vertical="center"/>
    </xf>
    <xf numFmtId="0" fontId="9" fillId="0" borderId="0" xfId="1" applyFill="1" applyAlignment="1">
      <alignment vertical="center"/>
    </xf>
    <xf numFmtId="0" fontId="13" fillId="0" borderId="7" xfId="1" applyFont="1" applyBorder="1" applyAlignment="1">
      <alignment horizontal="center" vertical="center"/>
    </xf>
    <xf numFmtId="0" fontId="13" fillId="0" borderId="0" xfId="1" applyFont="1" applyAlignment="1">
      <alignment horizontal="center" vertical="center"/>
    </xf>
    <xf numFmtId="0" fontId="13" fillId="0" borderId="0" xfId="1" applyFont="1" applyAlignment="1">
      <alignment vertical="center"/>
    </xf>
    <xf numFmtId="0" fontId="19" fillId="0" borderId="0" xfId="1" applyFont="1" applyAlignment="1" applyProtection="1">
      <alignment horizontal="center" vertical="center"/>
      <protection locked="0"/>
    </xf>
    <xf numFmtId="0" fontId="9" fillId="0" borderId="0" xfId="1" applyAlignment="1">
      <alignment horizontal="center" vertical="center"/>
    </xf>
    <xf numFmtId="0" fontId="15" fillId="4" borderId="0" xfId="1" applyFont="1" applyFill="1" applyAlignment="1">
      <alignment horizontal="center" vertical="center"/>
    </xf>
    <xf numFmtId="0" fontId="13" fillId="0" borderId="28" xfId="1" applyFont="1" applyBorder="1" applyAlignment="1">
      <alignment horizontal="left"/>
    </xf>
    <xf numFmtId="0" fontId="11" fillId="0" borderId="0" xfId="0" applyFont="1" applyAlignment="1" applyProtection="1">
      <alignment vertical="center"/>
    </xf>
    <xf numFmtId="0" fontId="0" fillId="0" borderId="10" xfId="0" applyBorder="1"/>
    <xf numFmtId="0" fontId="0" fillId="0" borderId="0" xfId="0" applyFont="1"/>
    <xf numFmtId="0" fontId="0" fillId="0" borderId="0" xfId="0" applyAlignment="1">
      <alignment vertical="top"/>
    </xf>
    <xf numFmtId="0" fontId="0" fillId="0" borderId="0" xfId="0" applyAlignment="1">
      <alignment horizontal="left" vertical="top"/>
    </xf>
    <xf numFmtId="2" fontId="28" fillId="0" borderId="0" xfId="1" applyNumberFormat="1" applyFont="1" applyBorder="1" applyAlignment="1" applyProtection="1">
      <alignment horizontal="center" vertical="center" wrapText="1"/>
      <protection locked="0"/>
    </xf>
    <xf numFmtId="0" fontId="28" fillId="0" borderId="0" xfId="1" applyFont="1" applyBorder="1" applyAlignment="1">
      <alignment horizontal="center" wrapText="1"/>
    </xf>
    <xf numFmtId="3" fontId="28" fillId="0" borderId="0" xfId="1" applyNumberFormat="1" applyFont="1" applyBorder="1" applyAlignment="1" applyProtection="1">
      <alignment horizontal="center" vertical="center" wrapText="1"/>
      <protection locked="0"/>
    </xf>
    <xf numFmtId="2" fontId="28" fillId="0" borderId="0" xfId="1" applyNumberFormat="1" applyFont="1" applyBorder="1" applyAlignment="1" applyProtection="1">
      <alignment horizontal="center" vertical="center" wrapText="1"/>
    </xf>
    <xf numFmtId="3" fontId="28" fillId="0" borderId="0" xfId="1" applyNumberFormat="1" applyFont="1" applyBorder="1" applyAlignment="1" applyProtection="1">
      <alignment horizontal="right" vertical="center" wrapText="1"/>
      <protection locked="0"/>
    </xf>
    <xf numFmtId="0" fontId="28" fillId="0" borderId="0" xfId="1" applyFont="1" applyBorder="1" applyAlignment="1" applyProtection="1">
      <alignment horizontal="center" vertical="center"/>
      <protection hidden="1"/>
    </xf>
    <xf numFmtId="0" fontId="28" fillId="0" borderId="0" xfId="1" applyFont="1" applyBorder="1" applyAlignment="1">
      <alignment horizontal="center"/>
    </xf>
    <xf numFmtId="2" fontId="28" fillId="0" borderId="0" xfId="1" applyNumberFormat="1" applyFont="1" applyBorder="1" applyAlignment="1" applyProtection="1">
      <alignment horizontal="right" vertical="center" wrapText="1"/>
      <protection locked="0"/>
    </xf>
    <xf numFmtId="3" fontId="28" fillId="0" borderId="0" xfId="3" applyNumberFormat="1" applyFont="1" applyBorder="1" applyAlignment="1" applyProtection="1">
      <alignment horizontal="right" vertical="center" wrapText="1"/>
      <protection locked="0"/>
    </xf>
    <xf numFmtId="0" fontId="28" fillId="0" borderId="5" xfId="1" applyFont="1" applyBorder="1" applyAlignment="1" applyProtection="1">
      <alignment horizontal="center" vertical="center"/>
      <protection hidden="1"/>
    </xf>
    <xf numFmtId="2" fontId="28" fillId="0" borderId="0" xfId="1" applyNumberFormat="1" applyFont="1" applyBorder="1" applyAlignment="1" applyProtection="1">
      <alignment horizontal="right" vertical="center" wrapText="1"/>
      <protection hidden="1"/>
    </xf>
    <xf numFmtId="0" fontId="28" fillId="0" borderId="0" xfId="1" applyFont="1" applyBorder="1" applyAlignment="1" applyProtection="1">
      <alignment horizontal="right" vertical="center"/>
      <protection hidden="1"/>
    </xf>
    <xf numFmtId="0" fontId="28" fillId="0" borderId="0" xfId="1" applyFont="1" applyBorder="1" applyAlignment="1" applyProtection="1">
      <alignment horizontal="left" vertical="center"/>
      <protection locked="0"/>
    </xf>
    <xf numFmtId="0" fontId="30" fillId="0" borderId="0" xfId="1" applyFont="1" applyBorder="1" applyAlignment="1">
      <alignment horizontal="center"/>
    </xf>
    <xf numFmtId="0" fontId="28" fillId="0" borderId="5" xfId="1" applyFont="1" applyBorder="1" applyAlignment="1" applyProtection="1">
      <alignment horizontal="left" vertical="center"/>
      <protection locked="0"/>
    </xf>
    <xf numFmtId="169" fontId="28" fillId="0" borderId="0" xfId="2" applyNumberFormat="1" applyFont="1" applyBorder="1" applyAlignment="1" applyProtection="1">
      <alignment horizontal="right" vertical="center" wrapText="1"/>
      <protection locked="0"/>
    </xf>
    <xf numFmtId="10" fontId="30" fillId="0" borderId="0" xfId="2" applyNumberFormat="1" applyFont="1" applyBorder="1" applyAlignment="1" applyProtection="1">
      <alignment horizontal="center" vertical="center"/>
      <protection hidden="1"/>
    </xf>
    <xf numFmtId="0" fontId="30" fillId="0" borderId="0" xfId="1" applyFont="1" applyBorder="1" applyAlignment="1" applyProtection="1">
      <alignment horizontal="right" vertical="center"/>
      <protection hidden="1"/>
    </xf>
    <xf numFmtId="2" fontId="30" fillId="0" borderId="0" xfId="1" applyNumberFormat="1" applyFont="1" applyBorder="1" applyAlignment="1" applyProtection="1">
      <alignment horizontal="center" vertical="center"/>
      <protection hidden="1"/>
    </xf>
    <xf numFmtId="0" fontId="30" fillId="0" borderId="0" xfId="1" applyFont="1" applyBorder="1" applyAlignment="1" applyProtection="1">
      <alignment horizontal="center" vertical="center"/>
      <protection hidden="1"/>
    </xf>
    <xf numFmtId="0" fontId="30" fillId="0" borderId="5" xfId="1" applyFont="1" applyBorder="1" applyAlignment="1" applyProtection="1">
      <alignment horizontal="center" vertical="center"/>
      <protection hidden="1"/>
    </xf>
    <xf numFmtId="2" fontId="28" fillId="0" borderId="4" xfId="1" applyNumberFormat="1" applyFont="1" applyBorder="1" applyAlignment="1" applyProtection="1">
      <alignment horizontal="right" vertical="center" wrapText="1"/>
      <protection locked="0"/>
    </xf>
    <xf numFmtId="0" fontId="30" fillId="0" borderId="0" xfId="1" applyFont="1" applyBorder="1" applyAlignment="1" applyProtection="1">
      <alignment vertical="center"/>
      <protection hidden="1"/>
    </xf>
    <xf numFmtId="170" fontId="28" fillId="0" borderId="6" xfId="1" applyNumberFormat="1" applyFont="1" applyBorder="1" applyAlignment="1" applyProtection="1">
      <alignment horizontal="right" vertical="center"/>
      <protection locked="0"/>
    </xf>
    <xf numFmtId="0" fontId="28" fillId="0" borderId="7" xfId="1" applyFont="1" applyBorder="1" applyAlignment="1" applyProtection="1">
      <alignment horizontal="center" vertical="center"/>
      <protection hidden="1"/>
    </xf>
    <xf numFmtId="2" fontId="28" fillId="0" borderId="7" xfId="1" applyNumberFormat="1" applyFont="1" applyBorder="1" applyAlignment="1" applyProtection="1">
      <alignment horizontal="center" vertical="center"/>
      <protection hidden="1"/>
    </xf>
    <xf numFmtId="0" fontId="28" fillId="0" borderId="7" xfId="1" applyFont="1" applyBorder="1" applyAlignment="1">
      <alignment horizontal="center"/>
    </xf>
    <xf numFmtId="0" fontId="30" fillId="0" borderId="7" xfId="1" applyFont="1" applyBorder="1" applyAlignment="1" applyProtection="1">
      <alignment horizontal="left" vertical="center"/>
      <protection hidden="1"/>
    </xf>
    <xf numFmtId="0" fontId="30" fillId="0" borderId="8" xfId="1" applyFont="1" applyBorder="1" applyAlignment="1" applyProtection="1">
      <alignment horizontal="left" vertical="center"/>
      <protection hidden="1"/>
    </xf>
    <xf numFmtId="0" fontId="28" fillId="0" borderId="0" xfId="1" applyFont="1" applyBorder="1" applyAlignment="1">
      <alignment horizontal="center" vertical="center" wrapText="1"/>
    </xf>
    <xf numFmtId="0" fontId="30" fillId="0" borderId="0" xfId="1" applyFont="1" applyBorder="1" applyAlignment="1" applyProtection="1">
      <alignment horizontal="left" vertical="center" wrapText="1"/>
      <protection hidden="1"/>
    </xf>
    <xf numFmtId="0" fontId="28" fillId="0" borderId="7" xfId="1" applyFont="1" applyBorder="1" applyAlignment="1">
      <alignment horizontal="center" wrapText="1"/>
    </xf>
    <xf numFmtId="3" fontId="28" fillId="0" borderId="7" xfId="1" applyNumberFormat="1" applyFont="1" applyBorder="1" applyAlignment="1" applyProtection="1">
      <alignment horizontal="center" vertical="center" wrapText="1"/>
      <protection locked="0"/>
    </xf>
    <xf numFmtId="2" fontId="28" fillId="0" borderId="7" xfId="1" applyNumberFormat="1" applyFont="1" applyFill="1" applyBorder="1" applyAlignment="1" applyProtection="1">
      <alignment horizontal="center" vertical="center"/>
      <protection hidden="1"/>
    </xf>
    <xf numFmtId="0" fontId="30" fillId="0" borderId="7" xfId="1" applyFont="1" applyBorder="1" applyAlignment="1" applyProtection="1">
      <alignment horizontal="left" vertical="center" wrapText="1"/>
      <protection hidden="1"/>
    </xf>
    <xf numFmtId="0" fontId="28" fillId="0" borderId="8" xfId="1" applyFont="1" applyBorder="1" applyAlignment="1" applyProtection="1">
      <alignment horizontal="center" vertical="center"/>
      <protection hidden="1"/>
    </xf>
    <xf numFmtId="0" fontId="31" fillId="0" borderId="0" xfId="1" applyFont="1" applyBorder="1" applyAlignment="1" applyProtection="1">
      <alignment vertical="center" wrapText="1"/>
    </xf>
    <xf numFmtId="2" fontId="28" fillId="0" borderId="0" xfId="1" applyNumberFormat="1" applyFont="1" applyAlignment="1" applyProtection="1">
      <alignment horizontal="center" vertical="center"/>
      <protection hidden="1"/>
    </xf>
    <xf numFmtId="0" fontId="28" fillId="0" borderId="0" xfId="1" applyFont="1" applyBorder="1" applyAlignment="1" applyProtection="1">
      <alignment vertical="top" wrapText="1"/>
      <protection locked="0"/>
    </xf>
    <xf numFmtId="0" fontId="30" fillId="0" borderId="29" xfId="1" applyFont="1" applyBorder="1" applyAlignment="1" applyProtection="1">
      <alignment horizontal="center" vertical="center" wrapText="1"/>
      <protection hidden="1"/>
    </xf>
    <xf numFmtId="0" fontId="30" fillId="0" borderId="29" xfId="1" applyFont="1" applyBorder="1" applyAlignment="1" applyProtection="1">
      <alignment horizontal="left" vertical="center" wrapText="1"/>
      <protection hidden="1"/>
    </xf>
    <xf numFmtId="0" fontId="28" fillId="0" borderId="30" xfId="1" applyFont="1" applyBorder="1" applyAlignment="1" applyProtection="1">
      <alignment horizontal="center" vertical="center"/>
      <protection hidden="1"/>
    </xf>
    <xf numFmtId="0" fontId="28" fillId="0" borderId="5" xfId="1" applyFont="1" applyBorder="1" applyAlignment="1" applyProtection="1">
      <alignment vertical="top" wrapText="1"/>
      <protection locked="0"/>
    </xf>
    <xf numFmtId="0" fontId="28" fillId="0" borderId="5" xfId="1" applyFont="1" applyBorder="1" applyAlignment="1">
      <alignment horizontal="center"/>
    </xf>
    <xf numFmtId="0" fontId="28" fillId="0" borderId="7" xfId="1" applyFont="1" applyBorder="1" applyAlignment="1" applyProtection="1">
      <alignment horizontal="center" vertical="center" wrapText="1"/>
    </xf>
    <xf numFmtId="166" fontId="28" fillId="0" borderId="7" xfId="1" applyNumberFormat="1" applyFont="1" applyBorder="1" applyAlignment="1" applyProtection="1">
      <alignment horizontal="center" vertical="center"/>
      <protection locked="0"/>
    </xf>
    <xf numFmtId="167" fontId="28" fillId="0" borderId="7" xfId="1" applyNumberFormat="1" applyFont="1" applyFill="1" applyBorder="1" applyAlignment="1" applyProtection="1">
      <alignment horizontal="center" vertical="center"/>
      <protection hidden="1"/>
    </xf>
    <xf numFmtId="0" fontId="28" fillId="0" borderId="7" xfId="1" applyFont="1" applyBorder="1" applyAlignment="1" applyProtection="1">
      <alignment vertical="top" wrapText="1"/>
      <protection locked="0"/>
    </xf>
    <xf numFmtId="0" fontId="28" fillId="0" borderId="8" xfId="1" applyFont="1" applyBorder="1" applyAlignment="1" applyProtection="1">
      <alignment vertical="top" wrapText="1"/>
      <protection locked="0"/>
    </xf>
    <xf numFmtId="0" fontId="28" fillId="0" borderId="0" xfId="1" applyFont="1" applyBorder="1" applyAlignment="1" applyProtection="1">
      <alignment horizontal="center" vertical="center" wrapText="1"/>
    </xf>
    <xf numFmtId="0" fontId="28" fillId="0" borderId="0" xfId="1" applyFont="1" applyAlignment="1" applyProtection="1">
      <alignment horizontal="center" vertical="center"/>
    </xf>
    <xf numFmtId="0" fontId="28" fillId="0" borderId="0" xfId="1" applyFont="1" applyAlignment="1" applyProtection="1">
      <alignment horizontal="center" vertical="center"/>
      <protection hidden="1"/>
    </xf>
    <xf numFmtId="0" fontId="28" fillId="0" borderId="31" xfId="1" applyFont="1" applyFill="1" applyBorder="1" applyAlignment="1" applyProtection="1">
      <alignment vertical="center" wrapText="1"/>
      <protection hidden="1"/>
    </xf>
    <xf numFmtId="0" fontId="28" fillId="0" borderId="29" xfId="1" applyFont="1" applyFill="1" applyBorder="1" applyAlignment="1" applyProtection="1">
      <alignment vertical="center" wrapText="1"/>
      <protection hidden="1"/>
    </xf>
    <xf numFmtId="0" fontId="28" fillId="0" borderId="30" xfId="1" applyFont="1" applyFill="1" applyBorder="1" applyAlignment="1" applyProtection="1">
      <alignment vertical="center" wrapText="1"/>
      <protection hidden="1"/>
    </xf>
    <xf numFmtId="164" fontId="3" fillId="2" borderId="0" xfId="1" applyNumberFormat="1" applyFont="1" applyFill="1" applyAlignment="1" applyProtection="1">
      <alignment horizontal="center" vertical="center"/>
    </xf>
    <xf numFmtId="2" fontId="1" fillId="0" borderId="0" xfId="1" applyNumberFormat="1" applyFont="1" applyBorder="1" applyAlignment="1" applyProtection="1">
      <alignment horizontal="center" vertical="center" wrapText="1"/>
    </xf>
    <xf numFmtId="166" fontId="1" fillId="0" borderId="0" xfId="1" applyNumberFormat="1" applyFont="1" applyBorder="1" applyAlignment="1" applyProtection="1">
      <alignment horizontal="center" vertical="center" wrapText="1"/>
    </xf>
    <xf numFmtId="2" fontId="1" fillId="0" borderId="0" xfId="1" applyNumberFormat="1" applyFont="1" applyAlignment="1">
      <alignment horizontal="left"/>
    </xf>
    <xf numFmtId="0" fontId="1" fillId="0" borderId="0" xfId="1" applyFont="1" applyAlignment="1">
      <alignment horizontal="left"/>
    </xf>
    <xf numFmtId="0" fontId="1" fillId="0" borderId="0" xfId="1" applyFont="1" applyFill="1"/>
    <xf numFmtId="1" fontId="1" fillId="0" borderId="0" xfId="1" applyNumberFormat="1" applyFont="1"/>
    <xf numFmtId="0" fontId="6" fillId="0" borderId="0" xfId="0" applyFont="1"/>
    <xf numFmtId="0" fontId="13" fillId="0" borderId="0" xfId="1" applyFont="1" applyBorder="1" applyAlignment="1" applyProtection="1">
      <alignment horizontal="left" vertical="center" wrapText="1"/>
      <protection hidden="1"/>
    </xf>
    <xf numFmtId="2" fontId="1" fillId="0" borderId="0" xfId="1" applyNumberFormat="1" applyFont="1"/>
    <xf numFmtId="0" fontId="5" fillId="0" borderId="9" xfId="0" applyFont="1" applyFill="1" applyBorder="1" applyAlignment="1" applyProtection="1">
      <alignment vertical="center"/>
    </xf>
    <xf numFmtId="0" fontId="32" fillId="0" borderId="0" xfId="4"/>
    <xf numFmtId="0" fontId="32" fillId="0" borderId="0" xfId="4" applyAlignment="1">
      <alignment vertical="center"/>
    </xf>
    <xf numFmtId="0" fontId="5" fillId="0" borderId="10" xfId="0" applyFont="1" applyFill="1" applyBorder="1" applyAlignment="1" applyProtection="1">
      <alignment vertical="center"/>
    </xf>
    <xf numFmtId="0" fontId="0" fillId="0" borderId="0" xfId="0" applyAlignment="1">
      <alignment horizontal="left" vertical="center"/>
    </xf>
    <xf numFmtId="0" fontId="7" fillId="0" borderId="9" xfId="0" applyFont="1" applyFill="1" applyBorder="1" applyAlignment="1" applyProtection="1">
      <alignment horizontal="center" vertical="center"/>
      <protection locked="0"/>
    </xf>
    <xf numFmtId="0" fontId="0" fillId="0" borderId="0" xfId="0" applyBorder="1" applyAlignment="1">
      <alignment horizontal="left"/>
    </xf>
    <xf numFmtId="168" fontId="0" fillId="0" borderId="0" xfId="0" applyNumberFormat="1" applyBorder="1" applyAlignment="1">
      <alignment horizontal="center"/>
    </xf>
    <xf numFmtId="0" fontId="0" fillId="0" borderId="0" xfId="0" applyAlignment="1">
      <alignment horizontal="center"/>
    </xf>
    <xf numFmtId="0" fontId="7" fillId="0" borderId="0" xfId="0" applyFont="1"/>
    <xf numFmtId="0" fontId="0" fillId="0" borderId="0" xfId="0" applyAlignment="1">
      <alignment wrapText="1"/>
    </xf>
    <xf numFmtId="49" fontId="0" fillId="0" borderId="0" xfId="0" applyNumberFormat="1"/>
    <xf numFmtId="0" fontId="37" fillId="0" borderId="0" xfId="0" applyFont="1"/>
    <xf numFmtId="1" fontId="36" fillId="0" borderId="0" xfId="0" applyNumberFormat="1" applyFont="1" applyAlignment="1">
      <alignment horizontal="center"/>
    </xf>
    <xf numFmtId="0" fontId="36" fillId="0" borderId="0" xfId="0" applyFont="1" applyAlignment="1">
      <alignment horizontal="center"/>
    </xf>
    <xf numFmtId="0" fontId="36" fillId="0" borderId="0" xfId="0" applyFont="1"/>
    <xf numFmtId="49" fontId="6" fillId="0" borderId="0" xfId="0" applyNumberFormat="1" applyFont="1"/>
    <xf numFmtId="0" fontId="0" fillId="0" borderId="10" xfId="0" applyBorder="1" applyAlignment="1">
      <alignment horizontal="left" vertical="center"/>
    </xf>
    <xf numFmtId="168" fontId="0" fillId="0" borderId="0" xfId="0" applyNumberFormat="1"/>
    <xf numFmtId="168" fontId="0" fillId="0" borderId="9" xfId="0" applyNumberFormat="1" applyBorder="1" applyAlignment="1">
      <alignment horizontal="center" vertical="center" shrinkToFit="1"/>
    </xf>
    <xf numFmtId="0" fontId="8" fillId="0" borderId="0" xfId="0" applyFont="1" applyAlignment="1">
      <alignment vertical="top" wrapText="1"/>
    </xf>
    <xf numFmtId="0" fontId="38" fillId="0" borderId="0" xfId="0" applyFont="1"/>
    <xf numFmtId="0" fontId="7" fillId="0" borderId="9" xfId="0" applyFont="1" applyBorder="1" applyAlignment="1" applyProtection="1">
      <alignment horizontal="center" vertical="center"/>
      <protection locked="0"/>
    </xf>
    <xf numFmtId="0" fontId="6" fillId="0" borderId="13" xfId="0" applyFont="1" applyBorder="1" applyAlignment="1" applyProtection="1">
      <alignment horizontal="center" vertical="center"/>
    </xf>
    <xf numFmtId="0" fontId="34" fillId="0" borderId="0" xfId="4" applyFont="1" applyBorder="1" applyAlignment="1" applyProtection="1">
      <alignment vertical="center"/>
    </xf>
    <xf numFmtId="0" fontId="6" fillId="0" borderId="9" xfId="0" applyFont="1" applyBorder="1" applyAlignment="1" applyProtection="1">
      <alignment horizontal="center" vertical="center"/>
    </xf>
    <xf numFmtId="0" fontId="0" fillId="0" borderId="5" xfId="0" applyBorder="1" applyAlignment="1">
      <alignment vertical="center"/>
    </xf>
    <xf numFmtId="2" fontId="6" fillId="0" borderId="9" xfId="0" applyNumberFormat="1" applyFont="1" applyBorder="1" applyAlignment="1" applyProtection="1">
      <alignment horizontal="center" vertical="center"/>
    </xf>
    <xf numFmtId="0" fontId="0" fillId="0" borderId="0" xfId="0" applyBorder="1" applyAlignment="1">
      <alignment vertical="center"/>
    </xf>
    <xf numFmtId="0" fontId="0" fillId="0" borderId="12" xfId="0" applyBorder="1" applyAlignment="1">
      <alignment vertical="center"/>
    </xf>
    <xf numFmtId="0" fontId="7" fillId="0" borderId="13" xfId="0" applyFont="1" applyBorder="1" applyAlignment="1" applyProtection="1">
      <alignment horizontal="center" vertical="center" shrinkToFit="1"/>
      <protection locked="0"/>
    </xf>
    <xf numFmtId="168" fontId="7" fillId="0" borderId="9" xfId="0" applyNumberFormat="1" applyFont="1" applyBorder="1" applyAlignment="1" applyProtection="1">
      <alignment horizontal="center" vertical="center"/>
      <protection locked="0"/>
    </xf>
    <xf numFmtId="0" fontId="0" fillId="0" borderId="12" xfId="0" applyBorder="1" applyAlignment="1">
      <alignment horizontal="center" vertical="center"/>
    </xf>
    <xf numFmtId="0" fontId="0" fillId="0" borderId="0" xfId="0" applyAlignment="1">
      <alignment horizontal="center"/>
    </xf>
    <xf numFmtId="2" fontId="0" fillId="0" borderId="0" xfId="0" applyNumberFormat="1" applyAlignment="1">
      <alignment horizontal="center"/>
    </xf>
    <xf numFmtId="3" fontId="6" fillId="0" borderId="9" xfId="0" applyNumberFormat="1" applyFont="1" applyBorder="1" applyAlignment="1" applyProtection="1">
      <alignment horizontal="center" vertical="center"/>
    </xf>
    <xf numFmtId="3" fontId="7" fillId="0" borderId="9"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hidden="1"/>
    </xf>
    <xf numFmtId="164" fontId="3" fillId="2" borderId="8" xfId="0" applyNumberFormat="1" applyFont="1" applyFill="1" applyBorder="1" applyAlignment="1" applyProtection="1">
      <alignment horizontal="center" vertical="center"/>
      <protection locked="0"/>
    </xf>
    <xf numFmtId="168" fontId="0" fillId="0" borderId="0" xfId="0" applyNumberFormat="1" applyAlignment="1">
      <alignment horizontal="center"/>
    </xf>
    <xf numFmtId="0" fontId="35" fillId="0" borderId="0" xfId="0" applyFont="1" applyAlignment="1">
      <alignment horizontal="left" wrapText="1"/>
    </xf>
    <xf numFmtId="0" fontId="2" fillId="2" borderId="1"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37" fillId="0" borderId="11" xfId="0" applyFont="1" applyBorder="1" applyAlignment="1" applyProtection="1">
      <alignment horizontal="right" wrapText="1"/>
    </xf>
    <xf numFmtId="0" fontId="37" fillId="0" borderId="12" xfId="0" applyFont="1" applyBorder="1" applyAlignment="1" applyProtection="1">
      <alignment horizontal="right" wrapText="1"/>
    </xf>
    <xf numFmtId="0" fontId="5" fillId="0" borderId="9" xfId="0" applyFont="1" applyFill="1" applyBorder="1" applyAlignment="1" applyProtection="1">
      <alignment horizontal="left" vertical="center"/>
    </xf>
    <xf numFmtId="0" fontId="4" fillId="0" borderId="10" xfId="0" applyFont="1" applyFill="1" applyBorder="1" applyAlignment="1" applyProtection="1">
      <alignment horizontal="left"/>
    </xf>
    <xf numFmtId="0" fontId="4" fillId="0" borderId="11" xfId="0" applyFont="1" applyFill="1" applyBorder="1" applyAlignment="1" applyProtection="1">
      <alignment horizontal="left"/>
    </xf>
    <xf numFmtId="0" fontId="4" fillId="0" borderId="12" xfId="0" applyFont="1" applyFill="1" applyBorder="1" applyAlignment="1" applyProtection="1">
      <alignment horizontal="left"/>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shrinkToFit="1"/>
    </xf>
    <xf numFmtId="0" fontId="0" fillId="0" borderId="12" xfId="0" applyBorder="1" applyAlignment="1">
      <alignment horizontal="left" vertical="center" shrinkToFi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8" fillId="0" borderId="0" xfId="0" applyFont="1" applyAlignment="1">
      <alignment horizontal="left" vertical="center" wrapText="1"/>
    </xf>
    <xf numFmtId="0" fontId="5" fillId="0" borderId="10"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33" fillId="0" borderId="0" xfId="0" applyFont="1" applyAlignment="1" applyProtection="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68" fontId="0" fillId="0" borderId="10" xfId="0" applyNumberFormat="1" applyBorder="1" applyAlignment="1">
      <alignment horizontal="left" vertical="center" shrinkToFit="1"/>
    </xf>
    <xf numFmtId="168" fontId="0" fillId="0" borderId="11" xfId="0" applyNumberFormat="1" applyBorder="1" applyAlignment="1">
      <alignment horizontal="left" vertical="center" shrinkToFit="1"/>
    </xf>
    <xf numFmtId="168" fontId="0" fillId="0" borderId="12" xfId="0" applyNumberFormat="1" applyBorder="1" applyAlignment="1">
      <alignment horizontal="left" vertical="center" shrinkToFi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3" fillId="2" borderId="2"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11" fillId="0" borderId="0" xfId="1" applyFont="1" applyAlignment="1" applyProtection="1">
      <alignment horizontal="center" vertical="center"/>
    </xf>
    <xf numFmtId="0" fontId="3" fillId="2" borderId="0" xfId="1" applyFont="1" applyFill="1" applyAlignment="1" applyProtection="1">
      <alignment horizontal="left" vertical="center"/>
    </xf>
    <xf numFmtId="0" fontId="13" fillId="0" borderId="1" xfId="1" applyFont="1" applyBorder="1" applyAlignment="1" applyProtection="1">
      <alignment horizontal="left" wrapText="1"/>
      <protection hidden="1"/>
    </xf>
    <xf numFmtId="0" fontId="13" fillId="0" borderId="15" xfId="1" applyFont="1" applyBorder="1" applyAlignment="1" applyProtection="1">
      <alignment horizontal="left" wrapText="1"/>
      <protection hidden="1"/>
    </xf>
    <xf numFmtId="0" fontId="13" fillId="0" borderId="2" xfId="1" applyFont="1" applyBorder="1" applyAlignment="1" applyProtection="1">
      <alignment horizontal="center" wrapText="1"/>
      <protection hidden="1"/>
    </xf>
    <xf numFmtId="0" fontId="13" fillId="0" borderId="16" xfId="1" applyFont="1" applyBorder="1" applyAlignment="1" applyProtection="1">
      <alignment horizontal="center" wrapText="1"/>
      <protection hidden="1"/>
    </xf>
    <xf numFmtId="0" fontId="13" fillId="0" borderId="10" xfId="1" applyFont="1" applyBorder="1" applyAlignment="1" applyProtection="1">
      <alignment horizontal="center" wrapText="1"/>
      <protection hidden="1"/>
    </xf>
    <xf numFmtId="0" fontId="13" fillId="0" borderId="11" xfId="1" applyFont="1" applyBorder="1" applyAlignment="1" applyProtection="1">
      <alignment horizontal="center" wrapText="1"/>
      <protection hidden="1"/>
    </xf>
    <xf numFmtId="0" fontId="13" fillId="0" borderId="12" xfId="1" applyFont="1" applyBorder="1" applyAlignment="1" applyProtection="1">
      <alignment horizontal="center" wrapText="1"/>
      <protection hidden="1"/>
    </xf>
    <xf numFmtId="0" fontId="15" fillId="3" borderId="7" xfId="1" applyFont="1" applyFill="1" applyBorder="1" applyAlignment="1" applyProtection="1">
      <alignment horizontal="center" vertical="center"/>
      <protection hidden="1"/>
    </xf>
    <xf numFmtId="0" fontId="13" fillId="0" borderId="0" xfId="1" applyFont="1" applyAlignment="1">
      <alignment horizontal="left"/>
    </xf>
    <xf numFmtId="0" fontId="13" fillId="0" borderId="0" xfId="1" applyFont="1" applyAlignment="1">
      <alignment horizontal="left" vertical="top" wrapText="1"/>
    </xf>
    <xf numFmtId="0" fontId="15" fillId="0" borderId="0" xfId="1" applyFont="1" applyBorder="1" applyAlignment="1" applyProtection="1">
      <alignment horizontal="left" vertical="center" wrapText="1"/>
      <protection hidden="1"/>
    </xf>
    <xf numFmtId="168" fontId="29" fillId="0" borderId="0" xfId="1" applyNumberFormat="1" applyFont="1" applyBorder="1" applyAlignment="1" applyProtection="1">
      <alignment horizontal="left" vertical="center"/>
    </xf>
    <xf numFmtId="0" fontId="30" fillId="0" borderId="0" xfId="1" applyFont="1" applyBorder="1" applyAlignment="1" applyProtection="1">
      <alignment horizontal="left" vertical="center"/>
      <protection hidden="1"/>
    </xf>
    <xf numFmtId="0" fontId="30" fillId="0" borderId="5" xfId="1" applyFont="1" applyBorder="1" applyAlignment="1" applyProtection="1">
      <alignment horizontal="left" vertical="center"/>
      <protection hidden="1"/>
    </xf>
    <xf numFmtId="0" fontId="13" fillId="0" borderId="4" xfId="1" applyFont="1" applyBorder="1" applyAlignment="1" applyProtection="1">
      <alignment horizontal="left" vertical="center" wrapText="1"/>
      <protection hidden="1"/>
    </xf>
    <xf numFmtId="0" fontId="13" fillId="0" borderId="0" xfId="1" applyFont="1" applyBorder="1" applyAlignment="1" applyProtection="1">
      <alignment horizontal="left" vertical="center" wrapText="1"/>
      <protection hidden="1"/>
    </xf>
    <xf numFmtId="0" fontId="27" fillId="3" borderId="7" xfId="1" applyFont="1" applyFill="1" applyBorder="1" applyAlignment="1" applyProtection="1">
      <alignment horizontal="center" vertical="center"/>
      <protection hidden="1"/>
    </xf>
    <xf numFmtId="0" fontId="0" fillId="0" borderId="0" xfId="0" applyAlignment="1">
      <alignment horizontal="center"/>
    </xf>
    <xf numFmtId="0" fontId="19" fillId="2" borderId="0" xfId="1" applyFont="1" applyFill="1" applyAlignment="1" applyProtection="1">
      <alignment horizontal="center" vertical="center"/>
    </xf>
  </cellXfs>
  <cellStyles count="5">
    <cellStyle name="Comma 2" xfId="3"/>
    <cellStyle name="Hyperlink" xfId="4" builtinId="8"/>
    <cellStyle name="Normal" xfId="0" builtinId="0"/>
    <cellStyle name="Normal 2" xfId="1"/>
    <cellStyle name="Percent 2" xfId="2"/>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ont>
        <color rgb="FF9C0006"/>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0000FF"/>
      </font>
    </dxf>
    <dxf>
      <font>
        <color rgb="FF0000FF"/>
      </font>
      <fill>
        <patternFill patternType="none">
          <bgColor auto="1"/>
        </patternFill>
      </fill>
    </dxf>
    <dxf>
      <font>
        <strike/>
        <color rgb="FF9C0006"/>
      </font>
      <fill>
        <patternFill patternType="none">
          <bgColor auto="1"/>
        </patternFill>
      </fill>
    </dxf>
  </dxfs>
  <tableStyles count="0" defaultTableStyle="TableStyleMedium2" defaultPivotStyle="PivotStyleLight16"/>
  <colors>
    <mruColors>
      <color rgb="FFFFC7CE"/>
      <color rgb="FF9C000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'Construction Mat'!$J$51</c:f>
          <c:strCache>
            <c:ptCount val="1"/>
            <c:pt idx="0">
              <c:v>GeoTerra Construction Mat</c:v>
            </c:pt>
          </c:strCache>
        </c:strRef>
      </c:tx>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'Construction Mat'!$J$55</c:f>
              <c:strCache>
                <c:ptCount val="1"/>
                <c:pt idx="0">
                  <c:v>Prepared Sub Grade, CBR = 2%</c:v>
                </c:pt>
              </c:strCache>
            </c:strRef>
          </c:tx>
          <c:spPr>
            <a:pattFill prst="weave">
              <a:fgClr>
                <a:srgbClr val="FFC000"/>
              </a:fgClr>
              <a:bgClr>
                <a:schemeClr val="bg1"/>
              </a:bgClr>
            </a:pattFill>
            <a:ln>
              <a:noFill/>
            </a:ln>
            <a:effectLst/>
          </c:spPr>
          <c:invertIfNegative val="0"/>
          <c:dLbls>
            <c:dLbl>
              <c:idx val="0"/>
              <c:spPr>
                <a:solidFill>
                  <a:schemeClr val="bg1"/>
                </a:solid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820C-449A-A706-534ACDC3D3AD}"/>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'Construction Mat'!$E$51</c:f>
              <c:numCache>
                <c:formatCode>0</c:formatCode>
                <c:ptCount val="1"/>
                <c:pt idx="0">
                  <c:v>12.5</c:v>
                </c:pt>
              </c:numCache>
            </c:numRef>
          </c:val>
          <c:extLst>
            <c:ext xmlns:c16="http://schemas.microsoft.com/office/drawing/2014/chart" uri="{C3380CC4-5D6E-409C-BE32-E72D297353CC}">
              <c16:uniqueId val="{00000002-7AA0-4CF8-B8B3-23F0B7B883A9}"/>
            </c:ext>
          </c:extLst>
        </c:ser>
        <c:ser>
          <c:idx val="1"/>
          <c:order val="1"/>
          <c:tx>
            <c:strRef>
              <c:f>'Construction Mat'!$J$54</c:f>
              <c:strCache>
                <c:ptCount val="1"/>
                <c:pt idx="0">
                  <c:v>Non-woven Geotextile</c:v>
                </c:pt>
              </c:strCache>
            </c:strRef>
          </c:tx>
          <c:spPr>
            <a:solidFill>
              <a:srgbClr val="C00000"/>
            </a:solidFill>
            <a:ln>
              <a:noFill/>
            </a:ln>
            <a:effectLst/>
          </c:spPr>
          <c:invertIfNegative val="0"/>
          <c:dLbls>
            <c:dLbl>
              <c:idx val="0"/>
              <c:spPr>
                <a:solidFill>
                  <a:schemeClr val="bg1"/>
                </a:solid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820C-449A-A706-534ACDC3D3AD}"/>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'Construction Mat'!$E$50</c:f>
              <c:numCache>
                <c:formatCode>0</c:formatCode>
                <c:ptCount val="1"/>
                <c:pt idx="0">
                  <c:v>3</c:v>
                </c:pt>
              </c:numCache>
            </c:numRef>
          </c:val>
          <c:extLst>
            <c:ext xmlns:c16="http://schemas.microsoft.com/office/drawing/2014/chart" uri="{C3380CC4-5D6E-409C-BE32-E72D297353CC}">
              <c16:uniqueId val="{00000003-7AA0-4CF8-B8B3-23F0B7B883A9}"/>
            </c:ext>
          </c:extLst>
        </c:ser>
        <c:ser>
          <c:idx val="2"/>
          <c:order val="2"/>
          <c:tx>
            <c:strRef>
              <c:f>'Construction Mat'!$J$53</c:f>
              <c:strCache>
                <c:ptCount val="1"/>
                <c:pt idx="0">
                  <c:v>Open Graded Base (Note 3B), 25 mm</c:v>
                </c:pt>
              </c:strCache>
            </c:strRef>
          </c:tx>
          <c:spPr>
            <a:pattFill prst="divot">
              <a:fgClr>
                <a:schemeClr val="tx1">
                  <a:lumMod val="50000"/>
                  <a:lumOff val="50000"/>
                </a:schemeClr>
              </a:fgClr>
              <a:bgClr>
                <a:schemeClr val="bg1"/>
              </a:bgClr>
            </a:pattFill>
            <a:ln>
              <a:solidFill>
                <a:schemeClr val="tx1">
                  <a:lumMod val="50000"/>
                  <a:lumOff val="50000"/>
                </a:schemeClr>
              </a:solidFill>
            </a:ln>
            <a:effectLst/>
          </c:spPr>
          <c:invertIfNegative val="0"/>
          <c:dPt>
            <c:idx val="0"/>
            <c:invertIfNegative val="0"/>
            <c:bubble3D val="0"/>
            <c:spPr>
              <a:pattFill prst="divot">
                <a:fgClr>
                  <a:schemeClr val="tx1">
                    <a:lumMod val="50000"/>
                    <a:lumOff val="50000"/>
                  </a:schemeClr>
                </a:fgClr>
                <a:bgClr>
                  <a:schemeClr val="bg1"/>
                </a:bgClr>
              </a:pattFill>
              <a:ln>
                <a:noFill/>
              </a:ln>
              <a:effectLst/>
            </c:spPr>
            <c:extLst>
              <c:ext xmlns:c16="http://schemas.microsoft.com/office/drawing/2014/chart" uri="{C3380CC4-5D6E-409C-BE32-E72D297353CC}">
                <c16:uniqueId val="{00000007-7AA0-4CF8-B8B3-23F0B7B883A9}"/>
              </c:ext>
            </c:extLst>
          </c:dPt>
          <c:dLbls>
            <c:dLbl>
              <c:idx val="0"/>
              <c:spPr>
                <a:solidFill>
                  <a:schemeClr val="bg1"/>
                </a:solid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7AA0-4CF8-B8B3-23F0B7B883A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'Construction Mat'!$E$49</c:f>
              <c:numCache>
                <c:formatCode>0</c:formatCode>
                <c:ptCount val="1"/>
                <c:pt idx="0">
                  <c:v>25</c:v>
                </c:pt>
              </c:numCache>
            </c:numRef>
          </c:val>
          <c:extLst>
            <c:ext xmlns:c16="http://schemas.microsoft.com/office/drawing/2014/chart" uri="{C3380CC4-5D6E-409C-BE32-E72D297353CC}">
              <c16:uniqueId val="{00000004-7AA0-4CF8-B8B3-23F0B7B883A9}"/>
            </c:ext>
          </c:extLst>
        </c:ser>
        <c:ser>
          <c:idx val="3"/>
          <c:order val="3"/>
          <c:tx>
            <c:strRef>
              <c:f>'Construction Mat'!$J$52</c:f>
              <c:strCache>
                <c:ptCount val="1"/>
                <c:pt idx="0">
                  <c:v>GeoTerra (Note 3A), 50 mm</c:v>
                </c:pt>
              </c:strCache>
            </c:strRef>
          </c:tx>
          <c:spPr>
            <a:pattFill prst="dotGrid">
              <a:fgClr>
                <a:schemeClr val="tx1"/>
              </a:fgClr>
              <a:bgClr>
                <a:schemeClr val="bg1"/>
              </a:bgClr>
            </a:pattFill>
            <a:ln>
              <a:noFill/>
            </a:ln>
            <a:effectLst/>
          </c:spPr>
          <c:invertIfNegative val="0"/>
          <c:dLbls>
            <c:dLbl>
              <c:idx val="0"/>
              <c:spPr>
                <a:solidFill>
                  <a:schemeClr val="bg1"/>
                </a:solid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1198-44DD-BF71-E21498D48F42}"/>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'Construction Mat'!$E$48</c:f>
              <c:numCache>
                <c:formatCode>0</c:formatCode>
                <c:ptCount val="1"/>
                <c:pt idx="0">
                  <c:v>50</c:v>
                </c:pt>
              </c:numCache>
            </c:numRef>
          </c:val>
          <c:extLst>
            <c:ext xmlns:c16="http://schemas.microsoft.com/office/drawing/2014/chart" uri="{C3380CC4-5D6E-409C-BE32-E72D297353CC}">
              <c16:uniqueId val="{00000005-7AA0-4CF8-B8B3-23F0B7B883A9}"/>
            </c:ext>
          </c:extLst>
        </c:ser>
        <c:dLbls>
          <c:showLegendKey val="0"/>
          <c:showVal val="0"/>
          <c:showCatName val="0"/>
          <c:showSerName val="0"/>
          <c:showPercent val="0"/>
          <c:showBubbleSize val="0"/>
        </c:dLbls>
        <c:gapWidth val="3"/>
        <c:overlap val="100"/>
        <c:axId val="706502264"/>
        <c:axId val="706498984"/>
      </c:barChart>
      <c:dateAx>
        <c:axId val="706502264"/>
        <c:scaling>
          <c:orientation val="minMax"/>
        </c:scaling>
        <c:delete val="1"/>
        <c:axPos val="b"/>
        <c:numFmt formatCode="General" sourceLinked="1"/>
        <c:majorTickMark val="none"/>
        <c:minorTickMark val="none"/>
        <c:tickLblPos val="nextTo"/>
        <c:crossAx val="706498984"/>
        <c:crosses val="autoZero"/>
        <c:auto val="0"/>
        <c:lblOffset val="100"/>
        <c:baseTimeUnit val="days"/>
      </c:dateAx>
      <c:valAx>
        <c:axId val="706498984"/>
        <c:scaling>
          <c:orientation val="minMax"/>
        </c:scaling>
        <c:delete val="1"/>
        <c:axPos val="l"/>
        <c:numFmt formatCode="0" sourceLinked="1"/>
        <c:majorTickMark val="none"/>
        <c:minorTickMark val="none"/>
        <c:tickLblPos val="nextTo"/>
        <c:crossAx val="706502264"/>
        <c:crossesAt val="1"/>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419383</xdr:colOff>
      <xdr:row>39</xdr:row>
      <xdr:rowOff>17165</xdr:rowOff>
    </xdr:from>
    <xdr:to>
      <xdr:col>4</xdr:col>
      <xdr:colOff>518443</xdr:colOff>
      <xdr:row>56</xdr:row>
      <xdr:rowOff>111788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95250</xdr:rowOff>
    </xdr:from>
    <xdr:to>
      <xdr:col>0</xdr:col>
      <xdr:colOff>1530350</xdr:colOff>
      <xdr:row>0</xdr:row>
      <xdr:rowOff>771914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95250"/>
          <a:ext cx="1454150" cy="676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114301</xdr:rowOff>
    </xdr:from>
    <xdr:to>
      <xdr:col>13</xdr:col>
      <xdr:colOff>203227</xdr:colOff>
      <xdr:row>26</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114301"/>
          <a:ext cx="7975627" cy="4848224"/>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editAs="oneCell">
    <xdr:from>
      <xdr:col>14</xdr:col>
      <xdr:colOff>0</xdr:colOff>
      <xdr:row>0</xdr:row>
      <xdr:rowOff>114300</xdr:rowOff>
    </xdr:from>
    <xdr:to>
      <xdr:col>27</xdr:col>
      <xdr:colOff>48768</xdr:colOff>
      <xdr:row>26</xdr:row>
      <xdr:rowOff>7620</xdr:rowOff>
    </xdr:to>
    <xdr:pic>
      <xdr:nvPicPr>
        <xdr:cNvPr id="4" name="Picture 3"/>
        <xdr:cNvPicPr>
          <a:picLocks/>
        </xdr:cNvPicPr>
      </xdr:nvPicPr>
      <xdr:blipFill>
        <a:blip xmlns:r="http://schemas.openxmlformats.org/officeDocument/2006/relationships" r:embed="rId2"/>
        <a:stretch>
          <a:fillRect/>
        </a:stretch>
      </xdr:blipFill>
      <xdr:spPr>
        <a:xfrm>
          <a:off x="8534400" y="114300"/>
          <a:ext cx="7973568" cy="4846320"/>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xdr:from>
      <xdr:col>7</xdr:col>
      <xdr:colOff>38100</xdr:colOff>
      <xdr:row>2</xdr:row>
      <xdr:rowOff>38100</xdr:rowOff>
    </xdr:from>
    <xdr:to>
      <xdr:col>13</xdr:col>
      <xdr:colOff>95250</xdr:colOff>
      <xdr:row>5</xdr:row>
      <xdr:rowOff>114300</xdr:rowOff>
    </xdr:to>
    <xdr:sp macro="" textlink="">
      <xdr:nvSpPr>
        <xdr:cNvPr id="5" name="TextBox 4"/>
        <xdr:cNvSpPr txBox="1"/>
      </xdr:nvSpPr>
      <xdr:spPr>
        <a:xfrm>
          <a:off x="4305300" y="419100"/>
          <a:ext cx="371475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b="1" i="0" u="none" strike="noStrike">
            <a:solidFill>
              <a:srgbClr val="0000FF"/>
            </a:solidFill>
            <a:latin typeface="Arial"/>
            <a:cs typeface="Arial"/>
          </a:endParaRPr>
        </a:p>
      </xdr:txBody>
    </xdr:sp>
    <xdr:clientData/>
  </xdr:twoCellAnchor>
  <xdr:twoCellAnchor>
    <xdr:from>
      <xdr:col>9</xdr:col>
      <xdr:colOff>457200</xdr:colOff>
      <xdr:row>1</xdr:row>
      <xdr:rowOff>38100</xdr:rowOff>
    </xdr:from>
    <xdr:to>
      <xdr:col>13</xdr:col>
      <xdr:colOff>123825</xdr:colOff>
      <xdr:row>5</xdr:row>
      <xdr:rowOff>123826</xdr:rowOff>
    </xdr:to>
    <xdr:sp macro="" textlink="$B$32">
      <xdr:nvSpPr>
        <xdr:cNvPr id="3" name="TextBox 2"/>
        <xdr:cNvSpPr txBox="1"/>
      </xdr:nvSpPr>
      <xdr:spPr>
        <a:xfrm>
          <a:off x="5943600" y="228600"/>
          <a:ext cx="2105025" cy="847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fld id="{8BB39908-D177-4E56-8B41-E785EF688B1D}" type="TxLink">
            <a:rPr lang="en-US" sz="1600" b="1" i="0" u="none" strike="noStrike">
              <a:solidFill>
                <a:srgbClr val="000000"/>
              </a:solidFill>
              <a:latin typeface="Arial"/>
              <a:cs typeface="Arial"/>
            </a:rPr>
            <a:pPr algn="r"/>
            <a:t>Imperial: GeoTerra Correlation Chart</a:t>
          </a:fld>
          <a:endParaRPr lang="en-US" sz="1100"/>
        </a:p>
      </xdr:txBody>
    </xdr:sp>
    <xdr:clientData/>
  </xdr:twoCellAnchor>
  <xdr:twoCellAnchor>
    <xdr:from>
      <xdr:col>20</xdr:col>
      <xdr:colOff>552450</xdr:colOff>
      <xdr:row>1</xdr:row>
      <xdr:rowOff>171450</xdr:rowOff>
    </xdr:from>
    <xdr:to>
      <xdr:col>27</xdr:col>
      <xdr:colOff>0</xdr:colOff>
      <xdr:row>5</xdr:row>
      <xdr:rowOff>57150</xdr:rowOff>
    </xdr:to>
    <xdr:sp macro="" textlink="">
      <xdr:nvSpPr>
        <xdr:cNvPr id="8" name="TextBox 7"/>
        <xdr:cNvSpPr txBox="1"/>
      </xdr:nvSpPr>
      <xdr:spPr>
        <a:xfrm>
          <a:off x="12744450" y="361950"/>
          <a:ext cx="371475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600" b="1" i="0" u="none" strike="noStrike">
            <a:solidFill>
              <a:srgbClr val="0000FF"/>
            </a:solidFill>
            <a:latin typeface="Arial"/>
            <a:cs typeface="Arial"/>
          </a:endParaRPr>
        </a:p>
      </xdr:txBody>
    </xdr:sp>
    <xdr:clientData/>
  </xdr:twoCellAnchor>
  <xdr:twoCellAnchor>
    <xdr:from>
      <xdr:col>23</xdr:col>
      <xdr:colOff>561975</xdr:colOff>
      <xdr:row>1</xdr:row>
      <xdr:rowOff>1</xdr:rowOff>
    </xdr:from>
    <xdr:to>
      <xdr:col>27</xdr:col>
      <xdr:colOff>0</xdr:colOff>
      <xdr:row>5</xdr:row>
      <xdr:rowOff>104775</xdr:rowOff>
    </xdr:to>
    <xdr:sp macro="" textlink="$B$33">
      <xdr:nvSpPr>
        <xdr:cNvPr id="6" name="TextBox 5"/>
        <xdr:cNvSpPr txBox="1"/>
      </xdr:nvSpPr>
      <xdr:spPr>
        <a:xfrm>
          <a:off x="14582775" y="190501"/>
          <a:ext cx="1876425" cy="866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fld id="{15C7C492-CDD9-4135-8C26-1F1AD244C1AD}" type="TxLink">
            <a:rPr lang="en-US" sz="1600" b="1" i="0" u="none" strike="noStrike">
              <a:solidFill>
                <a:srgbClr val="000000"/>
              </a:solidFill>
              <a:latin typeface="Arial"/>
              <a:cs typeface="Arial"/>
            </a:rPr>
            <a:pPr algn="r"/>
            <a:t>Metric: GeoTerra Correlation Chart</a:t>
          </a:fld>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0</xdr:col>
      <xdr:colOff>1577975</xdr:colOff>
      <xdr:row>0</xdr:row>
      <xdr:rowOff>781439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04775"/>
          <a:ext cx="1454150" cy="6766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0</xdr:col>
      <xdr:colOff>1558925</xdr:colOff>
      <xdr:row>0</xdr:row>
      <xdr:rowOff>800489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23825"/>
          <a:ext cx="1454150" cy="676664"/>
        </a:xfrm>
        <a:prstGeom prst="rect">
          <a:avLst/>
        </a:prstGeom>
      </xdr:spPr>
    </xdr:pic>
    <xdr:clientData/>
  </xdr:twoCellAnchor>
</xdr:wsDr>
</file>

<file path=xl/tables/table1.xml><?xml version="1.0" encoding="utf-8"?>
<table xmlns="http://schemas.openxmlformats.org/spreadsheetml/2006/main" id="6" name="Table6" displayName="Table6" ref="R2:R6" totalsRowShown="0">
  <autoFilter ref="R2:R6"/>
  <tableColumns count="1">
    <tableColumn id="1" name="Blank"/>
  </tableColumns>
  <tableStyleInfo name="TableStyleLight4" showFirstColumn="0" showLastColumn="0" showRowStripes="1" showColumnStripes="0"/>
</table>
</file>

<file path=xl/tables/table2.xml><?xml version="1.0" encoding="utf-8"?>
<table xmlns="http://schemas.openxmlformats.org/spreadsheetml/2006/main" id="7" name="Table7" displayName="Table7" ref="S2:S4" totalsRowShown="0">
  <autoFilter ref="S2:S4"/>
  <tableColumns count="1">
    <tableColumn id="1" name="Product"/>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noFill/>
        </a:ln>
      </a:spPr>
      <a:bodyPr vertOverflow="clip" horzOverflow="clip" wrap="square" rtlCol="0" anchor="t"/>
      <a:lstStyle>
        <a:defPPr>
          <a:defRPr sz="1600" b="1" i="0" u="none" strike="noStrike">
            <a:solidFill>
              <a:srgbClr val="0000FF"/>
            </a:solidFill>
            <a:latin typeface="Arial"/>
            <a:cs typeface="Arial"/>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abSelected="1" view="pageBreakPreview" zoomScale="85" zoomScaleNormal="100" zoomScaleSheetLayoutView="85" workbookViewId="0">
      <selection activeCell="C9" sqref="C9:C10"/>
    </sheetView>
  </sheetViews>
  <sheetFormatPr defaultColWidth="9.68359375" defaultRowHeight="14.4" x14ac:dyDescent="0.55000000000000004"/>
  <cols>
    <col min="1" max="1" width="24" customWidth="1"/>
    <col min="2" max="2" width="28.1015625" customWidth="1"/>
    <col min="3" max="3" width="13.41796875" style="2" bestFit="1" customWidth="1"/>
    <col min="4" max="4" width="35" style="3" customWidth="1"/>
    <col min="5" max="5" width="14.89453125" customWidth="1"/>
    <col min="6" max="6" width="1.41796875" hidden="1" customWidth="1"/>
    <col min="7" max="7" width="0.3125" hidden="1" customWidth="1"/>
    <col min="8" max="9" width="0.5234375" hidden="1" customWidth="1"/>
    <col min="10" max="10" width="1" hidden="1" customWidth="1"/>
    <col min="11" max="11" width="17.89453125" hidden="1" customWidth="1"/>
    <col min="12" max="12" width="25.3125" customWidth="1"/>
    <col min="13" max="16" width="9.68359375" customWidth="1"/>
  </cols>
  <sheetData>
    <row r="1" spans="1:16" ht="68.25" customHeight="1" x14ac:dyDescent="0.7">
      <c r="A1" s="131"/>
      <c r="B1" s="243" t="str">
        <f>IF(C6="Geoweb",CONCATENATE(G1,CHAR(10)," ",C6," ",H1),CONCATENATE(G1,CHAR(10),C6," ",H1))</f>
        <v>Construction Mats Using The
GeoTerra System</v>
      </c>
      <c r="C1" s="243"/>
      <c r="D1" s="243"/>
      <c r="E1" s="244"/>
      <c r="F1" s="130"/>
      <c r="G1" s="130" t="s">
        <v>151</v>
      </c>
      <c r="H1" s="130" t="s">
        <v>136</v>
      </c>
    </row>
    <row r="2" spans="1:16" ht="26.25" customHeight="1" x14ac:dyDescent="0.55000000000000004">
      <c r="A2" s="241" t="s">
        <v>29</v>
      </c>
      <c r="B2" s="271" t="s">
        <v>177</v>
      </c>
      <c r="C2" s="271"/>
      <c r="D2" s="271"/>
      <c r="E2" s="237" t="s">
        <v>30</v>
      </c>
    </row>
    <row r="3" spans="1:16" ht="26.25" customHeight="1" x14ac:dyDescent="0.55000000000000004">
      <c r="A3" s="242"/>
      <c r="B3" s="272"/>
      <c r="C3" s="272"/>
      <c r="D3" s="272"/>
      <c r="E3" s="238" t="s">
        <v>132</v>
      </c>
    </row>
    <row r="4" spans="1:16" ht="15.3" x14ac:dyDescent="0.55000000000000004">
      <c r="A4" s="246" t="s">
        <v>11</v>
      </c>
      <c r="B4" s="247"/>
      <c r="C4" s="247"/>
      <c r="D4" s="247"/>
      <c r="E4" s="248"/>
      <c r="F4" s="1"/>
      <c r="G4" s="1"/>
      <c r="H4" s="1"/>
      <c r="I4" s="1"/>
      <c r="J4" s="1"/>
      <c r="K4" s="1"/>
      <c r="L4" s="1"/>
      <c r="M4" s="1"/>
      <c r="N4" s="1"/>
      <c r="O4" s="1"/>
      <c r="P4" s="1"/>
    </row>
    <row r="5" spans="1:16" x14ac:dyDescent="0.55000000000000004">
      <c r="A5" s="245" t="s">
        <v>13</v>
      </c>
      <c r="B5" s="245"/>
      <c r="C5" s="222" t="s">
        <v>15</v>
      </c>
      <c r="D5" s="249"/>
      <c r="E5" s="249"/>
      <c r="F5" s="209" t="s">
        <v>138</v>
      </c>
    </row>
    <row r="6" spans="1:16" x14ac:dyDescent="0.55000000000000004">
      <c r="A6" s="249" t="s">
        <v>17</v>
      </c>
      <c r="B6" s="249"/>
      <c r="C6" s="222" t="s">
        <v>163</v>
      </c>
      <c r="D6" s="249" t="str">
        <f>IF(C20="Vegetated","Options: Geoblock, Geoblock5150, or Geoweb",IF(C20="Aggregate","Options: Geoweb or Geopave",""))</f>
        <v/>
      </c>
      <c r="E6" s="249"/>
    </row>
    <row r="7" spans="1:16" x14ac:dyDescent="0.55000000000000004">
      <c r="A7" s="259" t="s">
        <v>146</v>
      </c>
      <c r="B7" s="260"/>
      <c r="C7" s="223" t="str">
        <f>IF(C5="E","12 inches","300 mm")</f>
        <v>300 mm</v>
      </c>
      <c r="D7" s="224" t="s">
        <v>161</v>
      </c>
      <c r="E7" s="224"/>
    </row>
    <row r="8" spans="1:16" x14ac:dyDescent="0.55000000000000004">
      <c r="A8" s="259" t="s">
        <v>167</v>
      </c>
      <c r="B8" s="260"/>
      <c r="C8" s="230" t="s">
        <v>131</v>
      </c>
      <c r="D8" s="217" t="s">
        <v>148</v>
      </c>
      <c r="E8" s="232">
        <f>IF(C8="Enhanced Woven",5.3,2.8)</f>
        <v>2.8</v>
      </c>
    </row>
    <row r="9" spans="1:16" x14ac:dyDescent="0.55000000000000004">
      <c r="A9" s="245" t="s">
        <v>12</v>
      </c>
      <c r="B9" s="245"/>
      <c r="C9" s="273" t="s">
        <v>2</v>
      </c>
      <c r="D9" s="250" t="s">
        <v>149</v>
      </c>
      <c r="E9" s="250"/>
      <c r="G9" t="str">
        <f>IF(AND(C5="E",C9="H-20",OR(E12&gt;150,E12&lt;100)),"No",IF(AND(C5="M",C9="H-20",OR(E12&gt;1050,E12&lt;690)),"No","Yes"))</f>
        <v>Yes</v>
      </c>
      <c r="H9" t="str">
        <f>IF(AND(C5="E",C9="H-15",OR(E12&gt;95,E12&lt;75)),"No",IF(AND(C5="M",C9="H-15",OR(E12&gt;655,E12&lt;515)),"No","Yes"))</f>
        <v>No</v>
      </c>
      <c r="I9" t="str">
        <f>IF(AND(C5="E",C9="H-10",OR(E12&gt;70,E12&lt;50)),"No",IF(AND(C5="M",C9="H-10",OR(E12&gt;485,E12&lt;345)),"No","Yes"))</f>
        <v>Yes</v>
      </c>
      <c r="J9" t="str">
        <f>IF(AND(C5="E",C9="Passenger",OR(E12&gt;55,E12&lt;30)),"No",IF(AND(C5="M",C9="Passenger",OR(E12&gt;380,E12&lt;200)),"No","Yes"))</f>
        <v>Yes</v>
      </c>
    </row>
    <row r="10" spans="1:16" x14ac:dyDescent="0.55000000000000004">
      <c r="A10" s="245"/>
      <c r="B10" s="245"/>
      <c r="C10" s="274"/>
      <c r="D10" s="250"/>
      <c r="E10" s="250"/>
      <c r="G10" t="str">
        <f>IF(AND(C5="E",C9="H-20",OR(E13&gt;100000,E13&lt;70000)),"No",IF(AND(C5="M",C9="H-20",OR(E13&gt;450,E13&lt;310)),"No","Yes"))</f>
        <v>Yes</v>
      </c>
      <c r="H10" t="str">
        <f>IF(AND(C5="E",C9="H-15",OR(E13&gt;70000,E13&lt;50000)),"No",IF(AND(C5="M",C9="H-15",OR(E13&gt;310,E13&lt;220)),"No","Yes"))</f>
        <v>No</v>
      </c>
      <c r="I10" t="str">
        <f>IF(AND(C5="E",C9="H-10",OR(E13&gt;45000,E13&lt;35000)),"No",IF(AND(C5="M",C9="H-10",OR(E13&gt;200,E13&lt;155)),"No","Yes"))</f>
        <v>Yes</v>
      </c>
      <c r="J10" t="str">
        <f>IF(AND(C5="E",C9="Passenger",OR(E13&gt;13000,E13&lt;3000)),"No",IF(AND(C5="M",C9="Passenger",OR(E13&gt;60,E13&lt;13)),"No","Yes"))</f>
        <v>Yes</v>
      </c>
    </row>
    <row r="11" spans="1:16" ht="17.25" customHeight="1" x14ac:dyDescent="0.55000000000000004">
      <c r="A11" s="245" t="s">
        <v>21</v>
      </c>
      <c r="B11" s="245"/>
      <c r="C11" s="275" t="str">
        <f>IF(C9="H-20","Heavy Fire Truck or Large Construction Equipment",IF(C9="H-15","Light Fire  Truck or Medium Construction Equipment",IF(C9="H-10","Utility &amp; Delivery Truck or Light Construction Equipment",IF(C9="Passenger","Car &amp; Pick-Up Truck",""))))</f>
        <v>Light Fire  Truck or Medium Construction Equipment</v>
      </c>
      <c r="D11" s="276"/>
      <c r="E11" s="277"/>
      <c r="G11" t="str">
        <f>IF(AND(C5="E",C9="H-20",OR(E14&gt;48,E14&lt;27)),"No",IF(AND(C5="M",C9="H-20",OR(E14&gt;215,E14&lt;120)),"No","Yes"))</f>
        <v>Yes</v>
      </c>
      <c r="H11" t="str">
        <f>IF(AND(C5="E",C9="H-15",OR(E14&gt;29,E14&lt;19)),"No",IF(AND(C5="M",C9="H-15",OR(E14&gt;130,E14&lt;85)),"No","Yes"))</f>
        <v>Yes</v>
      </c>
      <c r="I11" t="str">
        <f>IF(AND(C5="E",C9="H-10",OR(E14&gt;21,E14&lt;11)),"No",IF(AND(C5="M",C9="H-10",OR(E14&gt;95,E14&lt;45)),"No","Yes"))</f>
        <v>Yes</v>
      </c>
      <c r="J11" t="str">
        <f>IF(AND(C5="E",C9="Passenger",OR(E14&gt;8,E14&lt;2)),"No",IF(AND(C5="M",C9="Passenger",OR(E14&gt;35,E14&lt;8)),"No","Yes"))</f>
        <v>Yes</v>
      </c>
    </row>
    <row r="12" spans="1:16" x14ac:dyDescent="0.55000000000000004">
      <c r="A12" s="245" t="str">
        <f>IF(C5="E","AASHTO Tire Pressure (psi)","AASHTO Tire Pressure (kPa)")</f>
        <v>AASHTO Tire Pressure (kPa)</v>
      </c>
      <c r="B12" s="245"/>
      <c r="C12" s="225">
        <f>IF(AND(C5="E",C9="H-20"),110,IF(AND(C5="M",C9="H-20"),758,IF(AND(C5="E",C9="H-15"),85,IF(AND(C5="M",C9="H-15"),586,IF(AND(C5="E",C9="H-10"),60,IF(AND(C5="M",C9="H-10"),414,IF(AND(C5="E",C9="Passenger"),45,IF(AND(C5="M",C9="Passenger"),310,""))))))))</f>
        <v>586</v>
      </c>
      <c r="D12" s="200" t="str">
        <f>IF(C5="E","Specified Tire Pressure (psi)","Specified Tire Pressure (kPa)")</f>
        <v>Specified Tire Pressure (kPa)</v>
      </c>
      <c r="E12" s="205">
        <v>310</v>
      </c>
      <c r="G12" s="204" t="str">
        <f>IF(AND(C5="E",C9="H-20",OR(G9="No",G10="No",G11="No")),"No",IF(AND(C5="M",C9="H-20",OR(G9="No",G10="No",G11="No")),"No","Yes"))</f>
        <v>Yes</v>
      </c>
      <c r="H12" s="204" t="str">
        <f>IF(AND(C5="E",C9="H-15",OR(H9="No",H10="No",H11="No")),"No",IF(AND(C5="M",C9="H-15",OR(H9="No",H10="No",H11="No")),"No","Yes"))</f>
        <v>No</v>
      </c>
      <c r="I12" s="204" t="str">
        <f>IF(AND(C5="E",C9="H-10",OR(I9="No",I10="No",I11="No")),"No",IF(AND(C5="M",C9="H-10",OR(I9="No",I10="No",I11="No")),"No","Yes"))</f>
        <v>Yes</v>
      </c>
      <c r="J12" s="204" t="str">
        <f>IF(AND(C5="E",C9="Passenger",OR(J9="No",J10="No",J11="No")),"No",IF(AND(C5="M",C9="Passenger",OR(J9="No",J10="No",J11="No")),"No","Yes"))</f>
        <v>Yes</v>
      </c>
    </row>
    <row r="13" spans="1:16" x14ac:dyDescent="0.55000000000000004">
      <c r="A13" s="259" t="str">
        <f>IF(C5="E","AASHTO Vehicle Load (lbs)","AASHTO Vehicle Load (kN)")</f>
        <v>AASHTO Vehicle Load (kN)</v>
      </c>
      <c r="B13" s="260"/>
      <c r="C13" s="235">
        <f>IF(AND(C5="E",C9="H-20"),80000,IF(AND(C5="M",C9="H-20"),356,IF(AND(C5="E",C9="H-15"),60000,IF(AND(C5="M",C9="H-15"),267,IF(AND(C5="E",C9="H-10"),40000,IF(AND(C5="M",C9="H-10"),178,IF(AND(C5="E",C9="Passenger"),8000,IF(AND(C5="M",C9="Passenger"),36,""))))))))</f>
        <v>267</v>
      </c>
      <c r="D13" s="203" t="str">
        <f>IF(C5="E","Specified Vehicle Load (lbs)","Specified Vehicle Load (kN)")</f>
        <v>Specified Vehicle Load (kN)</v>
      </c>
      <c r="E13" s="236">
        <v>36</v>
      </c>
      <c r="F13" s="3"/>
      <c r="G13" s="3" t="str">
        <f>IF(C9="H-20",G12,IF(C9="H-15",H12,IF(C9="H-10",I12,IF(C9="Passenger",J12,"Error"))))</f>
        <v>No</v>
      </c>
      <c r="H13" s="3"/>
    </row>
    <row r="14" spans="1:16" ht="14.4" customHeight="1" x14ac:dyDescent="0.55000000000000004">
      <c r="A14" s="245" t="str">
        <f>IF(C5="E","AASHTO Single Axle Loading (kips)","AASHTO Single Axle Loading (kN)")</f>
        <v>AASHTO Single Axle Loading (kN)</v>
      </c>
      <c r="B14" s="245"/>
      <c r="C14" s="225">
        <f>IF(AND(C5="E",C9="H-20"),32,IF(AND(C5="M",C9="H-20"),145,IF(AND(C5="E",C9="H-15"),24,IF(AND(C5="M",C9="H-15"),110,IF(AND(C5="E",C9="H-10"),16,IF(AND(C5="M",C9="H-10"),75,IF(AND(C5="E",C9="Passenger"),4,IF(AND(C5="M",C9="Passenger"),18,""))))))))</f>
        <v>110</v>
      </c>
      <c r="D14" s="200" t="str">
        <f>IF(C5="E","Specified Single Axle Loading (kips)","Specified Single Axle Loading (kN)")</f>
        <v>Specified Single Axle Loading (kN)</v>
      </c>
      <c r="E14" s="205">
        <f>C14</f>
        <v>110</v>
      </c>
    </row>
    <row r="15" spans="1:16" ht="14.4" customHeight="1" x14ac:dyDescent="0.55000000000000004">
      <c r="A15" s="249" t="s">
        <v>19</v>
      </c>
      <c r="B15" s="249"/>
      <c r="C15" s="268" t="s">
        <v>134</v>
      </c>
      <c r="D15" s="269"/>
      <c r="E15" s="270"/>
    </row>
    <row r="16" spans="1:16" ht="14.4" customHeight="1" x14ac:dyDescent="0.55000000000000004">
      <c r="A16" s="249" t="s">
        <v>133</v>
      </c>
      <c r="B16" s="249"/>
      <c r="C16" s="231">
        <v>2</v>
      </c>
      <c r="D16" s="224" t="s">
        <v>135</v>
      </c>
      <c r="E16" s="226"/>
    </row>
    <row r="17" spans="1:11" x14ac:dyDescent="0.55000000000000004">
      <c r="A17" s="249" t="s">
        <v>18</v>
      </c>
      <c r="B17" s="249"/>
      <c r="C17" s="222" t="s">
        <v>140</v>
      </c>
      <c r="D17" s="249" t="str">
        <f>IF(C17="0-2","Flat Slope",IF(C17="3-6","Average Slope","Steep Slope"))</f>
        <v>Flat Slope</v>
      </c>
      <c r="E17" s="249"/>
      <c r="G17" s="233" t="s">
        <v>169</v>
      </c>
      <c r="H17" s="233" t="s">
        <v>169</v>
      </c>
    </row>
    <row r="18" spans="1:11" x14ac:dyDescent="0.55000000000000004">
      <c r="A18" s="251" t="s">
        <v>144</v>
      </c>
      <c r="B18" s="252"/>
      <c r="C18" s="222" t="s">
        <v>24</v>
      </c>
      <c r="D18" s="251" t="str">
        <f>IF(C18="Sand","Soil is considered pervious and will inflitrate","Soil is considered impervious and will not inflitrate")</f>
        <v>Soil is considered impervious and will not inflitrate</v>
      </c>
      <c r="E18" s="252"/>
      <c r="G18" s="233" t="s">
        <v>170</v>
      </c>
      <c r="H18" s="233" t="s">
        <v>171</v>
      </c>
    </row>
    <row r="19" spans="1:11" x14ac:dyDescent="0.55000000000000004">
      <c r="A19" s="251" t="str">
        <f>IF(C5="E","Shear Strength, Cu (psi)","Shear Strength, Cu (kPa)")</f>
        <v>Shear Strength, Cu (kPa)</v>
      </c>
      <c r="B19" s="252"/>
      <c r="C19" s="5">
        <f>IF(C5="E",C16*4.38,C16*15)</f>
        <v>30</v>
      </c>
      <c r="D19" s="251" t="str">
        <f>IF(C5="E","Cu = 4.38 x CBR","Cu = 15 x CBR")</f>
        <v>Cu = 15 x CBR</v>
      </c>
      <c r="E19" s="252"/>
      <c r="G19" s="234">
        <f>SQRT(((1000*E14)/2)/(E12*PI()))</f>
        <v>7.5149407612775798</v>
      </c>
      <c r="H19" s="234">
        <f>SQRT(((E14)/2)/(E12*PI()))*100</f>
        <v>23.764329286876844</v>
      </c>
    </row>
    <row r="20" spans="1:11" x14ac:dyDescent="0.55000000000000004">
      <c r="A20" s="249" t="str">
        <f>IF(C5="E","Allowable Bearing Capacity, qa (psi)","Allowable Bearing Capacity, qa (kPa)")</f>
        <v>Allowable Bearing Capacity, qa (kPa)</v>
      </c>
      <c r="B20" s="249"/>
      <c r="C20" s="227">
        <f>C19*E8</f>
        <v>84</v>
      </c>
      <c r="D20" s="228" t="s">
        <v>147</v>
      </c>
      <c r="E20" s="226"/>
      <c r="G20" s="234">
        <f>IF(C9="Passenger",0,G19/SQRT(1/(1-(C20/E12))^(2/3)-1))</f>
        <v>15.517615500086563</v>
      </c>
      <c r="H20" s="234">
        <f>H19/SQRT(1/(1-(C20/E12))^(2/3)-1)</f>
        <v>49.07100883500631</v>
      </c>
      <c r="K20" s="11"/>
    </row>
    <row r="21" spans="1:11" x14ac:dyDescent="0.55000000000000004">
      <c r="A21" s="4" t="str">
        <f>CONCATENATE(G18," ",C6,IF(C5="E"," (in)"," (cm)"))</f>
        <v>Thickness W/O " GeoTerra (cm)</v>
      </c>
      <c r="B21" s="229"/>
      <c r="C21" s="227">
        <f>IF(C5="E",G20,H20)</f>
        <v>49.07100883500631</v>
      </c>
      <c r="D21" s="249" t="str">
        <f>CONCATENATE("Aggregate + ",C8," Geotextile")</f>
        <v>Aggregate + Non-woven Geotextile</v>
      </c>
      <c r="E21" s="249"/>
      <c r="G21" s="239">
        <f>IF(G20&lt;0,0,G20)</f>
        <v>15.517615500086563</v>
      </c>
      <c r="K21" s="11"/>
    </row>
    <row r="22" spans="1:11" x14ac:dyDescent="0.55000000000000004">
      <c r="A22" s="249" t="str">
        <f>IF(C6&lt;&gt;"Geoweb","",IF(AND(C5="E",C6="Geoweb"),"If deeper Geoweb is desired, select depth (in)","If deeper Geoweb is desired, select depth (in)"))</f>
        <v/>
      </c>
      <c r="B22" s="249"/>
      <c r="C22" s="222"/>
      <c r="D22" s="251" t="str">
        <f>IF(AND(A22="",C22&lt;&gt;""),"Delete this value","")</f>
        <v/>
      </c>
      <c r="E22" s="252"/>
      <c r="K22" s="11"/>
    </row>
    <row r="23" spans="1:11" ht="15" x14ac:dyDescent="0.55000000000000004">
      <c r="A23" s="255" t="s">
        <v>20</v>
      </c>
      <c r="B23" s="256"/>
      <c r="C23" s="256"/>
      <c r="D23" s="256"/>
      <c r="E23" s="257"/>
      <c r="G23" s="218">
        <f>C21-12</f>
        <v>37.07100883500631</v>
      </c>
      <c r="H23" s="218">
        <f>C21-25</f>
        <v>24.07100883500631</v>
      </c>
      <c r="K23" s="11"/>
    </row>
    <row r="24" spans="1:11" x14ac:dyDescent="0.55000000000000004">
      <c r="A24" s="251" t="str">
        <f>IF(C24="CBR too low","STOP",IF(C5="E","Geosystems Product Depth (in)",IF(C5="M","Geosystems Product Depth (mm)","")))</f>
        <v>Geosystems Product Depth (mm)</v>
      </c>
      <c r="B24" s="252"/>
      <c r="C24" s="219">
        <f>IF(C16&lt;2,"CBR too low",IF(C5="E",2,50))</f>
        <v>50</v>
      </c>
      <c r="D24" s="253" t="str">
        <f>IF(C16&lt;2,"Contact Presto for further evaluation, Ph: 800-548-3424","See Note 2")</f>
        <v>See Note 2</v>
      </c>
      <c r="E24" s="254"/>
      <c r="G24" s="218">
        <f>ROUNDUP(G23,0)</f>
        <v>38</v>
      </c>
      <c r="H24" s="218">
        <f>ROUNDUP(H23,0)</f>
        <v>25</v>
      </c>
      <c r="K24" s="11"/>
    </row>
    <row r="25" spans="1:11" x14ac:dyDescent="0.55000000000000004">
      <c r="A25" s="251" t="str">
        <f>IF(C24="CBR too low","",IF(C5="E","Recommended Base Depth (in)",IF(C5="M","Recommended Base Depth (mm)","")))</f>
        <v>Recommended Base Depth (mm)</v>
      </c>
      <c r="B25" s="252"/>
      <c r="C25" s="219">
        <f>IF(A25="","",IF(C5="E",G25,H25))</f>
        <v>25</v>
      </c>
      <c r="D25" s="250" t="str">
        <f>IF(C25="","",IF(C5="E",G26,H26))</f>
        <v>Crushed Aggregate Base</v>
      </c>
      <c r="E25" s="250"/>
      <c r="G25" s="218">
        <f>IF(G24&lt;0,0,G24)</f>
        <v>38</v>
      </c>
      <c r="H25">
        <f>IF(H24&lt;0,0,H24)</f>
        <v>25</v>
      </c>
      <c r="K25" s="11"/>
    </row>
    <row r="26" spans="1:11" ht="15" customHeight="1" x14ac:dyDescent="0.55000000000000004">
      <c r="A26" s="251" t="str">
        <f>IF(A25="","","Required Accessories")</f>
        <v>Required Accessories</v>
      </c>
      <c r="B26" s="252"/>
      <c r="C26" s="265" t="str">
        <f>IF(A26="","",IF(C6="Geoterra",G39,G40))</f>
        <v>PadLoc Connection Devices (6 per panel), Lifting Lever, and Torsion Tool</v>
      </c>
      <c r="D26" s="266"/>
      <c r="E26" s="267"/>
      <c r="G26" t="str">
        <f>IF(G23&lt;0,"No Additional Base Required","Crushed Aggregate Base")</f>
        <v>Crushed Aggregate Base</v>
      </c>
      <c r="H26" t="str">
        <f>IF(H23&lt;0,"No Additional Base Required","Crushed Aggregate Base")</f>
        <v>Crushed Aggregate Base</v>
      </c>
      <c r="J26" s="133"/>
      <c r="K26" s="11"/>
    </row>
    <row r="27" spans="1:11" ht="15" customHeight="1" x14ac:dyDescent="0.55000000000000004">
      <c r="A27" s="249" t="str">
        <f>IF(A25="","",IF(C17="&gt;10","Anchors Are Required",""))</f>
        <v/>
      </c>
      <c r="B27" s="252"/>
      <c r="C27" s="262" t="str">
        <f>IF(A27="","","Contact Presto for number and spacing, Ph: 800-548-3424")</f>
        <v/>
      </c>
      <c r="D27" s="263"/>
      <c r="E27" s="264"/>
      <c r="G27" s="133"/>
      <c r="H27" s="133"/>
      <c r="I27" s="133"/>
      <c r="J27" s="133"/>
      <c r="K27" s="11"/>
    </row>
    <row r="28" spans="1:11" s="133" customFormat="1" ht="15" customHeight="1" x14ac:dyDescent="0.55000000000000004">
      <c r="A28" s="206"/>
      <c r="B28" s="206"/>
      <c r="C28" s="207"/>
      <c r="D28" s="206"/>
      <c r="E28" s="206"/>
      <c r="G28" s="134"/>
      <c r="H28" s="134"/>
      <c r="I28" s="134"/>
      <c r="J28" s="134"/>
      <c r="K28" s="134"/>
    </row>
    <row r="29" spans="1:11" s="133" customFormat="1" ht="20.100000000000001" customHeight="1" x14ac:dyDescent="0.45">
      <c r="A29" s="10" t="s">
        <v>22</v>
      </c>
      <c r="B29" s="6"/>
      <c r="C29" s="6"/>
      <c r="D29" s="6"/>
      <c r="E29" s="6"/>
      <c r="G29" s="134"/>
      <c r="H29" s="134"/>
      <c r="I29" s="134"/>
      <c r="J29" s="134"/>
      <c r="K29" s="134"/>
    </row>
    <row r="30" spans="1:11" s="133" customFormat="1" ht="24.6" customHeight="1" x14ac:dyDescent="0.55000000000000004">
      <c r="A30" s="258" t="str">
        <f>G35</f>
        <v>1. If the CBR &lt; 3% or has a high silt content (&gt; 15%) and low plasticity (PI &lt; 5%), an enhanced woven geotextile is recommended. Contact Presto for more details (Ph: 800-548-3424).</v>
      </c>
      <c r="B30" s="258"/>
      <c r="C30" s="258"/>
      <c r="D30" s="258"/>
      <c r="E30" s="258"/>
      <c r="G30" s="134"/>
      <c r="H30" s="134"/>
      <c r="I30" s="134"/>
      <c r="J30" s="134"/>
      <c r="K30" s="134"/>
    </row>
    <row r="31" spans="1:11" ht="18" customHeight="1" x14ac:dyDescent="0.55000000000000004">
      <c r="A31" s="258" t="str">
        <f>CONCATENATE(G36,C6,G37, " ")</f>
        <v xml:space="preserve">2. Refer to the GeoTerra Application and Installation Guide for a complete description of the design and construction methods. </v>
      </c>
      <c r="B31" s="258"/>
      <c r="C31" s="258"/>
      <c r="D31" s="258"/>
      <c r="E31" s="258"/>
      <c r="G31" s="11"/>
      <c r="H31" s="11"/>
      <c r="I31" s="11"/>
      <c r="J31" s="11"/>
      <c r="K31" s="11"/>
    </row>
    <row r="32" spans="1:11" ht="14.4" customHeight="1" x14ac:dyDescent="0.55000000000000004">
      <c r="A32" s="261" t="str">
        <f>IF(C6="Geoterra",HYPERLINK("https://www.prestogeo.com/wp-content/uploads/2016/10/GT-GEOTERRA-Specification-and-Installation-Guideline-eng.pdf"),IF(C6="Geoterra GTO",HYPERLINK("https://www.prestogeo.com/wp-content/uploads/2016/10/GTO-GEOTERRA-GTO-Specification-Installation-Guideline-eng.pdf")))</f>
        <v>https://www.prestogeo.com/wp-content/uploads/2016/10/GT-GEOTERRA-Specification-and-Installation-Guideline-eng.pdf</v>
      </c>
      <c r="B32" s="261"/>
      <c r="C32" s="261"/>
      <c r="D32" s="261"/>
      <c r="E32" s="261"/>
      <c r="G32" s="11"/>
      <c r="H32" s="11"/>
      <c r="I32" s="11"/>
      <c r="J32" s="11"/>
      <c r="K32" s="11"/>
    </row>
    <row r="33" spans="1:15" ht="15" customHeight="1" x14ac:dyDescent="0.55000000000000004">
      <c r="A33" s="258" t="str">
        <f>CONCATENATE(G50,CHAR(10),G43,CHAR(10),CHAR(10),IF(C25&gt;0,G44,""),CHAR(10),CHAR(10),IF(AND(C8="Non-woven",C18="Clay"),G45,""))</f>
        <v>3. Material Descriptions
A. The units can be driven on empty.  The units can be filled (sand or aggregate) to control expansion due to temperature variations.
B. Crushed aggregate base shall be 0.375 to 1.0 (10 to 25 mm).  Engineer of record shall design base stability.
4. If the clay has a high silt content (&gt; 15%), an enhanced woven geotextile may be required. Contact Presto for more details (Ph: 800-548-3424).</v>
      </c>
      <c r="B33" s="258"/>
      <c r="C33" s="258"/>
      <c r="D33" s="258"/>
      <c r="E33" s="258"/>
      <c r="G33" s="11"/>
      <c r="H33" s="11"/>
      <c r="I33" s="11"/>
      <c r="J33" s="11"/>
      <c r="K33" s="11"/>
    </row>
    <row r="34" spans="1:15" s="4" customFormat="1" ht="14.4" customHeight="1" x14ac:dyDescent="0.55000000000000004">
      <c r="A34" s="258"/>
      <c r="B34" s="258"/>
      <c r="C34" s="258"/>
      <c r="D34" s="258"/>
      <c r="E34" s="258"/>
      <c r="G34" s="201"/>
      <c r="I34" s="202"/>
      <c r="K34" s="202"/>
      <c r="M34" s="202"/>
    </row>
    <row r="35" spans="1:15" x14ac:dyDescent="0.55000000000000004">
      <c r="A35" s="258"/>
      <c r="B35" s="258"/>
      <c r="C35" s="258"/>
      <c r="D35" s="258"/>
      <c r="E35" s="258"/>
      <c r="G35" t="s">
        <v>174</v>
      </c>
    </row>
    <row r="36" spans="1:15" ht="14.4" customHeight="1" x14ac:dyDescent="0.55000000000000004">
      <c r="A36" s="258"/>
      <c r="B36" s="258"/>
      <c r="C36" s="258"/>
      <c r="D36" s="258"/>
      <c r="E36" s="258"/>
      <c r="G36" s="132" t="s">
        <v>166</v>
      </c>
    </row>
    <row r="37" spans="1:15" x14ac:dyDescent="0.55000000000000004">
      <c r="A37" s="258"/>
      <c r="B37" s="258"/>
      <c r="C37" s="258"/>
      <c r="D37" s="258"/>
      <c r="E37" s="258"/>
      <c r="G37" s="132" t="s">
        <v>137</v>
      </c>
    </row>
    <row r="38" spans="1:15" ht="14.4" customHeight="1" x14ac:dyDescent="0.55000000000000004">
      <c r="A38" s="220"/>
      <c r="B38" s="220"/>
      <c r="C38" s="220"/>
      <c r="D38" s="220"/>
      <c r="E38" s="220"/>
    </row>
    <row r="39" spans="1:15" ht="20.25" customHeight="1" x14ac:dyDescent="0.55000000000000004">
      <c r="A39" s="220"/>
      <c r="B39" s="220"/>
      <c r="C39" s="220"/>
      <c r="D39" s="220"/>
      <c r="E39" s="220"/>
      <c r="G39" t="s">
        <v>173</v>
      </c>
    </row>
    <row r="40" spans="1:15" ht="22.5" customHeight="1" x14ac:dyDescent="0.55000000000000004">
      <c r="A40" s="6"/>
      <c r="B40" s="6"/>
      <c r="C40" s="6"/>
      <c r="D40" s="6"/>
      <c r="E40" s="6"/>
      <c r="G40" t="s">
        <v>172</v>
      </c>
    </row>
    <row r="41" spans="1:15" x14ac:dyDescent="0.55000000000000004">
      <c r="F41" s="197"/>
      <c r="G41" s="197"/>
    </row>
    <row r="42" spans="1:15" x14ac:dyDescent="0.55000000000000004">
      <c r="E42" s="197"/>
      <c r="F42" s="197"/>
      <c r="G42" s="197"/>
    </row>
    <row r="43" spans="1:15" x14ac:dyDescent="0.55000000000000004">
      <c r="E43" s="197"/>
      <c r="F43" s="197"/>
      <c r="G43" s="197" t="s">
        <v>178</v>
      </c>
      <c r="M43" s="7"/>
      <c r="O43" s="7"/>
    </row>
    <row r="44" spans="1:15" x14ac:dyDescent="0.55000000000000004">
      <c r="E44" s="197"/>
      <c r="F44" s="197"/>
      <c r="G44" s="197" t="s">
        <v>176</v>
      </c>
      <c r="M44" s="7"/>
      <c r="O44" s="7"/>
    </row>
    <row r="45" spans="1:15" x14ac:dyDescent="0.55000000000000004">
      <c r="E45" s="215"/>
      <c r="G45" s="197" t="s">
        <v>175</v>
      </c>
    </row>
    <row r="46" spans="1:15" x14ac:dyDescent="0.55000000000000004">
      <c r="E46" s="213">
        <f>IF(C25="Not Recommended","",IF(C20="Aggregate","",IF(C5="E",0.3,10)))</f>
        <v>10</v>
      </c>
      <c r="F46" s="197"/>
      <c r="G46" s="197"/>
    </row>
    <row r="47" spans="1:15" x14ac:dyDescent="0.55000000000000004">
      <c r="E47" s="214" t="str">
        <f>IF(C25="Not Recommended","",IF(AND(C6="Geoweb",C5="E",C20="Vegetated"),0.5,IF(AND(C6="Geoweb",C5="E",C20="Aggregate"),2,IF(AND(C6="Geoweb",C5="M",C20="Vegetated"),10,IF(AND(C6="Geoweb",C5="E",C20="Aggregate"),50,"")))))</f>
        <v/>
      </c>
      <c r="G47" s="197"/>
    </row>
    <row r="48" spans="1:15" x14ac:dyDescent="0.55000000000000004">
      <c r="E48" s="213">
        <f>IF(C25="Not Recommended","",IF(AND(C6="Geoweb",C22&gt;C24),C22,C24))</f>
        <v>50</v>
      </c>
      <c r="G48" s="197"/>
    </row>
    <row r="49" spans="1:17" x14ac:dyDescent="0.55000000000000004">
      <c r="E49" s="213">
        <f>ROUND(C25,1)</f>
        <v>25</v>
      </c>
      <c r="G49" s="197"/>
    </row>
    <row r="50" spans="1:17" x14ac:dyDescent="0.55000000000000004">
      <c r="E50" s="213">
        <f>IF(C25="Not Recommended","",IF(C5="E",0.1,3))</f>
        <v>3</v>
      </c>
      <c r="G50" s="216" t="s">
        <v>168</v>
      </c>
    </row>
    <row r="51" spans="1:17" x14ac:dyDescent="0.55000000000000004">
      <c r="E51" s="213">
        <f>IF(C25="Not Recommended","",IF(E49&gt;0,E49/2,IF(C5="E",2,50)))</f>
        <v>12.5</v>
      </c>
      <c r="G51" s="197"/>
      <c r="I51" t="s">
        <v>150</v>
      </c>
      <c r="J51" t="str">
        <f>CONCATENATE(C6," ",I51)</f>
        <v>GeoTerra Construction Mat</v>
      </c>
      <c r="N51" s="2"/>
      <c r="O51" s="2"/>
    </row>
    <row r="52" spans="1:17" x14ac:dyDescent="0.55000000000000004">
      <c r="E52" s="215"/>
      <c r="G52" s="197" t="str">
        <f>CONCATENATE(C6, " ")</f>
        <v xml:space="preserve">GeoTerra </v>
      </c>
      <c r="H52" t="str">
        <f>IF(C24=3,3,IF(C24=4,4,IF(C24=6,6,IF(C24=8,8,IF(C24=75,3,IF(C24=100,4,IF(C24=150,6,IF(C24=200,8,""))))))))</f>
        <v/>
      </c>
      <c r="I52" t="str">
        <f>IF(C6="Geoweb"," (Note 3B)","(Note 3A)")</f>
        <v>(Note 3A)</v>
      </c>
      <c r="J52" t="str">
        <f>IF(E48="","",CONCATENATE(G52,H52,I52,", ",E48," ",IF(C5="E","in","mm")))</f>
        <v>GeoTerra (Note 3A), 50 mm</v>
      </c>
      <c r="N52" s="2"/>
    </row>
    <row r="53" spans="1:17" x14ac:dyDescent="0.55000000000000004">
      <c r="E53" s="215"/>
      <c r="F53" s="209"/>
      <c r="G53" s="197" t="str">
        <f>IF(C20="Vegetated","Engineered Base","Open Graded Base")</f>
        <v>Open Graded Base</v>
      </c>
      <c r="I53" t="str">
        <f>IF(C6="Geoweb"," (Note 3C)"," (Note 3B)")</f>
        <v xml:space="preserve"> (Note 3B)</v>
      </c>
      <c r="J53" t="str">
        <f>IF(OR(G25=0,E49=""),"",CONCATENATE(G53,I53,", ",E49," ",IF(C5="E","in","mm")))</f>
        <v>Open Graded Base (Note 3B), 25 mm</v>
      </c>
      <c r="N53" s="2"/>
      <c r="P53" s="9"/>
      <c r="Q53" s="5"/>
    </row>
    <row r="54" spans="1:17" x14ac:dyDescent="0.55000000000000004">
      <c r="E54" s="215"/>
      <c r="F54" s="209"/>
      <c r="G54" s="197" t="s">
        <v>53</v>
      </c>
      <c r="J54" t="str">
        <f>IF(E50="","",CONCATENATE(C8," ",G54))</f>
        <v>Non-woven Geotextile</v>
      </c>
      <c r="N54" s="2"/>
      <c r="P54" s="9"/>
      <c r="Q54" s="5"/>
    </row>
    <row r="55" spans="1:17" x14ac:dyDescent="0.55000000000000004">
      <c r="E55" s="215"/>
      <c r="F55" s="197"/>
      <c r="G55" s="197" t="s">
        <v>27</v>
      </c>
      <c r="J55" t="str">
        <f>IF(E51="","",CONCATENATE(G55,", ","CBR"," = ",C16,"%"))</f>
        <v>Prepared Sub Grade, CBR = 2%</v>
      </c>
      <c r="N55" s="2"/>
      <c r="P55" s="9"/>
      <c r="Q55" s="5"/>
    </row>
    <row r="56" spans="1:17" x14ac:dyDescent="0.55000000000000004">
      <c r="E56" s="197"/>
      <c r="F56" s="197"/>
      <c r="G56" s="197"/>
      <c r="O56" s="8"/>
      <c r="P56" s="9"/>
      <c r="Q56" s="5"/>
    </row>
    <row r="57" spans="1:17" x14ac:dyDescent="0.55000000000000004">
      <c r="B57" s="210"/>
      <c r="C57" s="208"/>
      <c r="E57" s="197"/>
      <c r="F57" s="197"/>
      <c r="G57" s="197"/>
      <c r="O57" s="8"/>
      <c r="P57" s="9"/>
      <c r="Q57" s="5"/>
    </row>
    <row r="58" spans="1:17" x14ac:dyDescent="0.55000000000000004">
      <c r="A58" s="240" t="s">
        <v>139</v>
      </c>
      <c r="B58" s="240"/>
      <c r="C58" s="240"/>
      <c r="D58" s="240"/>
      <c r="E58" s="240"/>
      <c r="F58" s="197"/>
      <c r="G58" s="197"/>
      <c r="O58" s="5"/>
      <c r="P58" s="5"/>
    </row>
    <row r="59" spans="1:17" x14ac:dyDescent="0.55000000000000004">
      <c r="A59" s="240"/>
      <c r="B59" s="240"/>
      <c r="C59" s="240"/>
      <c r="D59" s="240"/>
      <c r="E59" s="240"/>
      <c r="F59" s="197"/>
      <c r="G59" s="197"/>
    </row>
    <row r="60" spans="1:17" x14ac:dyDescent="0.55000000000000004">
      <c r="E60" s="197"/>
      <c r="F60" s="197"/>
      <c r="G60" s="197"/>
    </row>
    <row r="61" spans="1:17" x14ac:dyDescent="0.55000000000000004">
      <c r="E61" s="197"/>
      <c r="F61" s="197"/>
      <c r="G61" s="197"/>
    </row>
    <row r="62" spans="1:17" x14ac:dyDescent="0.55000000000000004">
      <c r="E62" s="197"/>
      <c r="F62" s="197"/>
      <c r="G62" s="197"/>
    </row>
    <row r="63" spans="1:17" x14ac:dyDescent="0.55000000000000004">
      <c r="E63" s="197"/>
      <c r="F63" s="197"/>
      <c r="G63" s="197"/>
    </row>
    <row r="64" spans="1:17" x14ac:dyDescent="0.55000000000000004">
      <c r="E64" s="197"/>
      <c r="F64" s="197"/>
      <c r="G64" s="197"/>
    </row>
    <row r="65" spans="5:7" x14ac:dyDescent="0.55000000000000004">
      <c r="E65" s="197"/>
      <c r="F65" s="197"/>
      <c r="G65" s="197"/>
    </row>
    <row r="66" spans="5:7" x14ac:dyDescent="0.55000000000000004">
      <c r="E66" s="197"/>
      <c r="F66" s="197"/>
      <c r="G66" s="197"/>
    </row>
    <row r="67" spans="5:7" x14ac:dyDescent="0.55000000000000004">
      <c r="G67" s="197"/>
    </row>
    <row r="68" spans="5:7" x14ac:dyDescent="0.55000000000000004">
      <c r="G68" s="197"/>
    </row>
    <row r="69" spans="5:7" x14ac:dyDescent="0.55000000000000004">
      <c r="G69" s="197"/>
    </row>
  </sheetData>
  <sheetProtection sheet="1" selectLockedCells="1"/>
  <dataConsolidate/>
  <mergeCells count="45">
    <mergeCell ref="B2:D3"/>
    <mergeCell ref="D6:E6"/>
    <mergeCell ref="A20:B20"/>
    <mergeCell ref="A6:B6"/>
    <mergeCell ref="A25:B25"/>
    <mergeCell ref="A14:B14"/>
    <mergeCell ref="D22:E22"/>
    <mergeCell ref="A19:B19"/>
    <mergeCell ref="D19:E19"/>
    <mergeCell ref="A8:B8"/>
    <mergeCell ref="A11:B11"/>
    <mergeCell ref="D9:E10"/>
    <mergeCell ref="A9:B10"/>
    <mergeCell ref="A12:B12"/>
    <mergeCell ref="C9:C10"/>
    <mergeCell ref="C11:E11"/>
    <mergeCell ref="A32:E32"/>
    <mergeCell ref="A13:B13"/>
    <mergeCell ref="A18:B18"/>
    <mergeCell ref="A31:E31"/>
    <mergeCell ref="A26:B26"/>
    <mergeCell ref="A30:E30"/>
    <mergeCell ref="C27:E27"/>
    <mergeCell ref="C26:E26"/>
    <mergeCell ref="D18:E18"/>
    <mergeCell ref="A17:B17"/>
    <mergeCell ref="A15:B15"/>
    <mergeCell ref="A16:B16"/>
    <mergeCell ref="C15:E15"/>
    <mergeCell ref="A58:E59"/>
    <mergeCell ref="A2:A3"/>
    <mergeCell ref="B1:E1"/>
    <mergeCell ref="A5:B5"/>
    <mergeCell ref="A4:E4"/>
    <mergeCell ref="D5:E5"/>
    <mergeCell ref="D25:E25"/>
    <mergeCell ref="D21:E21"/>
    <mergeCell ref="A22:B22"/>
    <mergeCell ref="A24:B24"/>
    <mergeCell ref="D24:E24"/>
    <mergeCell ref="A23:E23"/>
    <mergeCell ref="D17:E17"/>
    <mergeCell ref="A27:B27"/>
    <mergeCell ref="A33:E37"/>
    <mergeCell ref="A7:B7"/>
  </mergeCells>
  <conditionalFormatting sqref="C22">
    <cfRule type="expression" dxfId="17" priority="2">
      <formula>$A$22=""</formula>
    </cfRule>
    <cfRule type="expression" dxfId="16" priority="4">
      <formula>AND($C$5="E",$C$22&lt;20)</formula>
    </cfRule>
    <cfRule type="expression" dxfId="15" priority="5">
      <formula>AND($C$5="M",$C$22&lt;40)</formula>
    </cfRule>
    <cfRule type="expression" dxfId="14" priority="7">
      <formula>$C$22=""</formula>
    </cfRule>
    <cfRule type="expression" dxfId="13" priority="8">
      <formula>AND($C$5="E",$C$22&gt;20)</formula>
    </cfRule>
    <cfRule type="expression" dxfId="12" priority="10">
      <formula>AND($C$5="M",$C$22&lt;40)</formula>
    </cfRule>
  </conditionalFormatting>
  <conditionalFormatting sqref="D24">
    <cfRule type="containsText" dxfId="11" priority="11" operator="containsText" text="Presto">
      <formula>NOT(ISERROR(SEARCH("Presto",D24)))</formula>
    </cfRule>
  </conditionalFormatting>
  <conditionalFormatting sqref="D22:E22">
    <cfRule type="expression" dxfId="10" priority="9">
      <formula>$D$22="Delete this value"</formula>
    </cfRule>
  </conditionalFormatting>
  <conditionalFormatting sqref="C21">
    <cfRule type="expression" dxfId="9" priority="31">
      <formula>$C$21=""</formula>
    </cfRule>
    <cfRule type="expression" dxfId="8" priority="32">
      <formula>#REF!=""</formula>
    </cfRule>
  </conditionalFormatting>
  <conditionalFormatting sqref="C6">
    <cfRule type="expression" dxfId="7" priority="36">
      <formula>(AND($C$20="Vegetated",$C$6="Geopave"))</formula>
    </cfRule>
    <cfRule type="expression" dxfId="6" priority="37">
      <formula>(AND($C$20="Aggregate",$C$6="Geoblock"))</formula>
    </cfRule>
    <cfRule type="expression" dxfId="5" priority="38">
      <formula>(AND($C$20="Aggregate",$C$6="Geoblock5150"))</formula>
    </cfRule>
  </conditionalFormatting>
  <conditionalFormatting sqref="C27:E27">
    <cfRule type="containsText" dxfId="4" priority="1" operator="containsText" text="Presto">
      <formula>NOT(ISERROR(SEARCH("Presto",C27)))</formula>
    </cfRule>
  </conditionalFormatting>
  <hyperlinks>
    <hyperlink ref="D16" location="'CBR Correlations'!A1" display="CBR Correlation Descriptions"/>
    <hyperlink ref="D7" location="'Research Information'!A1" display="Basic Research Information"/>
  </hyperlinks>
  <pageMargins left="0.7" right="0.7" top="0.75" bottom="0.75" header="0.3" footer="0.3"/>
  <pageSetup scale="7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IF($C$5="E",Data!$T$5:$T$6,Data!$U$5:$U$6)</xm:f>
          </x14:formula1>
          <xm:sqref>C22</xm:sqref>
        </x14:dataValidation>
        <x14:dataValidation type="list" allowBlank="1" showInputMessage="1" showErrorMessage="1">
          <x14:formula1>
            <xm:f>Data!$N$3:$N$6</xm:f>
          </x14:formula1>
          <xm:sqref>C9</xm:sqref>
        </x14:dataValidation>
        <x14:dataValidation type="list" allowBlank="1" showInputMessage="1" showErrorMessage="1">
          <x14:formula1>
            <xm:f>Data!$M$3:$M$4</xm:f>
          </x14:formula1>
          <xm:sqref>C5</xm:sqref>
        </x14:dataValidation>
        <x14:dataValidation type="list" allowBlank="1" showInputMessage="1" showErrorMessage="1">
          <x14:formula1>
            <xm:f>Data!$P$3:$P$4</xm:f>
          </x14:formula1>
          <xm:sqref>C18</xm:sqref>
        </x14:dataValidation>
        <x14:dataValidation type="list" allowBlank="1" showInputMessage="1" showErrorMessage="1">
          <x14:formula1>
            <xm:f>Data!$R$3:$R$6</xm:f>
          </x14:formula1>
          <xm:sqref>C17</xm:sqref>
        </x14:dataValidation>
        <x14:dataValidation type="list" allowBlank="1" showInputMessage="1" showErrorMessage="1">
          <x14:formula1>
            <xm:f>Data!$S$3:$S$4</xm:f>
          </x14:formula1>
          <xm:sqref>C6</xm:sqref>
        </x14:dataValidation>
        <x14:dataValidation type="list" allowBlank="1" showInputMessage="1" showErrorMessage="1">
          <x14:formula1>
            <xm:f>Data!$U$3:$U$4</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1:C33"/>
  <sheetViews>
    <sheetView workbookViewId="0"/>
  </sheetViews>
  <sheetFormatPr defaultRowHeight="14.4" x14ac:dyDescent="0.55000000000000004"/>
  <sheetData>
    <row r="31" spans="2:3" x14ac:dyDescent="0.55000000000000004">
      <c r="B31" s="3"/>
      <c r="C31" s="3"/>
    </row>
    <row r="32" spans="2:3" ht="20.100000000000001" hidden="1" x14ac:dyDescent="0.7">
      <c r="B32" s="212" t="str">
        <f>CONCATENATE("Imperial: ",'Construction Mat'!C6," Correlation Chart")</f>
        <v>Imperial: GeoTerra Correlation Chart</v>
      </c>
    </row>
    <row r="33" spans="2:2" ht="20.100000000000001" hidden="1" x14ac:dyDescent="0.7">
      <c r="B33" s="212" t="str">
        <f>CONCATENATE("Metric: ",'Construction Mat'!C6," Correlation Chart")</f>
        <v>Metric: GeoTerra Correlation Chart</v>
      </c>
    </row>
  </sheetData>
  <sheetProtection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M7" sqref="M7"/>
    </sheetView>
  </sheetViews>
  <sheetFormatPr defaultRowHeight="14.4" x14ac:dyDescent="0.55000000000000004"/>
  <sheetData>
    <row r="1" spans="1:10" x14ac:dyDescent="0.55000000000000004">
      <c r="A1" s="278" t="s">
        <v>162</v>
      </c>
      <c r="B1" s="278"/>
      <c r="C1" s="278"/>
      <c r="D1" s="278"/>
      <c r="E1" s="278"/>
      <c r="F1" s="278"/>
      <c r="G1" s="278"/>
      <c r="H1" s="278"/>
      <c r="I1" s="278"/>
      <c r="J1" s="278"/>
    </row>
    <row r="2" spans="1:10" x14ac:dyDescent="0.55000000000000004">
      <c r="A2" s="278"/>
      <c r="B2" s="278"/>
      <c r="C2" s="278"/>
      <c r="D2" s="278"/>
      <c r="E2" s="278"/>
      <c r="F2" s="278"/>
      <c r="G2" s="278"/>
      <c r="H2" s="278"/>
      <c r="I2" s="278"/>
      <c r="J2" s="278"/>
    </row>
    <row r="4" spans="1:10" ht="18.3" x14ac:dyDescent="0.7">
      <c r="A4" s="221" t="s">
        <v>154</v>
      </c>
    </row>
    <row r="5" spans="1:10" ht="15" customHeight="1" x14ac:dyDescent="0.55000000000000004">
      <c r="A5" s="279" t="s">
        <v>152</v>
      </c>
      <c r="B5" s="279"/>
      <c r="C5" s="279"/>
      <c r="D5" s="279"/>
      <c r="E5" s="279"/>
      <c r="F5" s="279"/>
      <c r="G5" s="279"/>
      <c r="H5" s="279"/>
      <c r="I5" s="279"/>
      <c r="J5" s="279"/>
    </row>
    <row r="6" spans="1:10" x14ac:dyDescent="0.55000000000000004">
      <c r="A6" s="279"/>
      <c r="B6" s="279"/>
      <c r="C6" s="279"/>
      <c r="D6" s="279"/>
      <c r="E6" s="279"/>
      <c r="F6" s="279"/>
      <c r="G6" s="279"/>
      <c r="H6" s="279"/>
      <c r="I6" s="279"/>
      <c r="J6" s="279"/>
    </row>
    <row r="7" spans="1:10" x14ac:dyDescent="0.55000000000000004">
      <c r="A7" s="279"/>
      <c r="B7" s="279"/>
      <c r="C7" s="279"/>
      <c r="D7" s="279"/>
      <c r="E7" s="279"/>
      <c r="F7" s="279"/>
      <c r="G7" s="279"/>
      <c r="H7" s="279"/>
      <c r="I7" s="279"/>
      <c r="J7" s="279"/>
    </row>
    <row r="8" spans="1:10" x14ac:dyDescent="0.55000000000000004">
      <c r="A8" s="279"/>
      <c r="B8" s="279"/>
      <c r="C8" s="279"/>
      <c r="D8" s="279"/>
      <c r="E8" s="279"/>
      <c r="F8" s="279"/>
      <c r="G8" s="279"/>
      <c r="H8" s="279"/>
      <c r="I8" s="279"/>
      <c r="J8" s="279"/>
    </row>
    <row r="9" spans="1:10" x14ac:dyDescent="0.55000000000000004">
      <c r="A9" s="279"/>
      <c r="B9" s="279"/>
      <c r="C9" s="279"/>
      <c r="D9" s="279"/>
      <c r="E9" s="279"/>
      <c r="F9" s="279"/>
      <c r="G9" s="279"/>
      <c r="H9" s="279"/>
      <c r="I9" s="279"/>
      <c r="J9" s="279"/>
    </row>
    <row r="10" spans="1:10" x14ac:dyDescent="0.55000000000000004">
      <c r="A10" s="210"/>
      <c r="B10" s="279" t="s">
        <v>155</v>
      </c>
      <c r="C10" s="279"/>
      <c r="D10" s="279"/>
      <c r="E10" s="279"/>
      <c r="F10" s="279"/>
      <c r="G10" s="279"/>
      <c r="H10" s="279"/>
      <c r="I10" s="279"/>
      <c r="J10" s="279"/>
    </row>
    <row r="11" spans="1:10" x14ac:dyDescent="0.55000000000000004">
      <c r="B11" s="280" t="s">
        <v>156</v>
      </c>
      <c r="C11" s="280"/>
      <c r="D11" s="280"/>
      <c r="E11" s="280"/>
      <c r="F11" s="280"/>
      <c r="G11" s="280"/>
      <c r="H11" s="280"/>
      <c r="I11" s="280"/>
      <c r="J11" s="280"/>
    </row>
    <row r="12" spans="1:10" x14ac:dyDescent="0.55000000000000004">
      <c r="B12" s="280" t="s">
        <v>157</v>
      </c>
      <c r="C12" s="280"/>
      <c r="D12" s="280"/>
      <c r="E12" s="280"/>
      <c r="F12" s="280"/>
      <c r="G12" s="280"/>
      <c r="H12" s="280"/>
      <c r="I12" s="280"/>
      <c r="J12" s="280"/>
    </row>
    <row r="15" spans="1:10" ht="18.3" x14ac:dyDescent="0.7">
      <c r="A15" s="221" t="s">
        <v>158</v>
      </c>
    </row>
    <row r="16" spans="1:10" ht="15" customHeight="1" x14ac:dyDescent="0.55000000000000004">
      <c r="A16" s="279" t="s">
        <v>153</v>
      </c>
      <c r="B16" s="279"/>
      <c r="C16" s="279"/>
      <c r="D16" s="279"/>
      <c r="E16" s="279"/>
      <c r="F16" s="279"/>
      <c r="G16" s="279"/>
      <c r="H16" s="279"/>
      <c r="I16" s="279"/>
      <c r="J16" s="279"/>
    </row>
    <row r="17" spans="1:10" x14ac:dyDescent="0.55000000000000004">
      <c r="A17" s="279"/>
      <c r="B17" s="279"/>
      <c r="C17" s="279"/>
      <c r="D17" s="279"/>
      <c r="E17" s="279"/>
      <c r="F17" s="279"/>
      <c r="G17" s="279"/>
      <c r="H17" s="279"/>
      <c r="I17" s="279"/>
      <c r="J17" s="279"/>
    </row>
    <row r="18" spans="1:10" ht="15" customHeight="1" x14ac:dyDescent="0.55000000000000004">
      <c r="A18" s="210"/>
      <c r="B18" s="279" t="s">
        <v>159</v>
      </c>
      <c r="C18" s="279"/>
      <c r="D18" s="279"/>
      <c r="E18" s="279"/>
      <c r="F18" s="279"/>
      <c r="G18" s="279"/>
      <c r="H18" s="279"/>
      <c r="I18" s="279"/>
      <c r="J18" s="279"/>
    </row>
    <row r="19" spans="1:10" x14ac:dyDescent="0.55000000000000004">
      <c r="B19" s="279"/>
      <c r="C19" s="279"/>
      <c r="D19" s="279"/>
      <c r="E19" s="279"/>
      <c r="F19" s="279"/>
      <c r="G19" s="279"/>
      <c r="H19" s="279"/>
      <c r="I19" s="279"/>
      <c r="J19" s="279"/>
    </row>
    <row r="20" spans="1:10" x14ac:dyDescent="0.55000000000000004">
      <c r="B20" s="279"/>
      <c r="C20" s="279"/>
      <c r="D20" s="279"/>
      <c r="E20" s="279"/>
      <c r="F20" s="279"/>
      <c r="G20" s="279"/>
      <c r="H20" s="279"/>
      <c r="I20" s="279"/>
      <c r="J20" s="279"/>
    </row>
    <row r="21" spans="1:10" ht="15" customHeight="1" x14ac:dyDescent="0.55000000000000004">
      <c r="B21" s="279" t="s">
        <v>160</v>
      </c>
      <c r="C21" s="279"/>
      <c r="D21" s="279"/>
      <c r="E21" s="279"/>
      <c r="F21" s="279"/>
      <c r="G21" s="279"/>
      <c r="H21" s="279"/>
      <c r="I21" s="279"/>
      <c r="J21" s="279"/>
    </row>
    <row r="22" spans="1:10" x14ac:dyDescent="0.55000000000000004">
      <c r="B22" s="279"/>
      <c r="C22" s="279"/>
      <c r="D22" s="279"/>
      <c r="E22" s="279"/>
      <c r="F22" s="279"/>
      <c r="G22" s="279"/>
      <c r="H22" s="279"/>
      <c r="I22" s="279"/>
      <c r="J22" s="279"/>
    </row>
    <row r="23" spans="1:10" x14ac:dyDescent="0.55000000000000004">
      <c r="B23" s="279"/>
      <c r="C23" s="279"/>
      <c r="D23" s="279"/>
      <c r="E23" s="279"/>
      <c r="F23" s="279"/>
      <c r="G23" s="279"/>
      <c r="H23" s="279"/>
      <c r="I23" s="279"/>
      <c r="J23" s="279"/>
    </row>
  </sheetData>
  <sheetProtection algorithmName="SHA-512" hashValue="ZrUTKcrbFLAEOPmsDkRzO7QCia/c1Dm3zVIbuQP+4U8vPoXabOX9JPJjDuODZyIpmIXcj8tLD1ICxJq4+iC1Sg==" saltValue="w8FmYd0QNxaVqgFtES2W/w==" spinCount="100000" sheet="1" objects="1" scenarios="1" selectLockedCells="1" selectUnlockedCells="1"/>
  <mergeCells count="8">
    <mergeCell ref="A1:J2"/>
    <mergeCell ref="A16:J17"/>
    <mergeCell ref="B18:J20"/>
    <mergeCell ref="B21:J23"/>
    <mergeCell ref="A5:J9"/>
    <mergeCell ref="B10:J10"/>
    <mergeCell ref="B11:J11"/>
    <mergeCell ref="B12:J12"/>
  </mergeCells>
  <conditionalFormatting sqref="A1:J2">
    <cfRule type="containsText" dxfId="3" priority="1" operator="containsText" text="Please contact Presto Geosystems for more information about the research performed and access to testing results and published papers.">
      <formula>NOT(ISERROR(SEARCH("Please contact Presto Geosystems for more information about the research performed and access to testing results and published papers.",A1)))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1"/>
  <sheetViews>
    <sheetView view="pageBreakPreview" zoomScale="85" zoomScaleNormal="100" zoomScaleSheetLayoutView="85" workbookViewId="0">
      <selection activeCell="B15" sqref="B15"/>
    </sheetView>
  </sheetViews>
  <sheetFormatPr defaultColWidth="8.89453125" defaultRowHeight="12.3" x14ac:dyDescent="0.4"/>
  <cols>
    <col min="1" max="1" width="31.68359375" style="117" bestFit="1" customWidth="1"/>
    <col min="2" max="8" width="11.5234375" style="114" customWidth="1"/>
    <col min="9" max="9" width="12.5234375" style="114" customWidth="1"/>
    <col min="10" max="10" width="12.5234375" style="13" customWidth="1"/>
    <col min="11" max="11" width="14.1015625" style="13" hidden="1" customWidth="1"/>
    <col min="12" max="12" width="9.3125" style="13" hidden="1" customWidth="1"/>
    <col min="13" max="13" width="13.3125" style="13" hidden="1" customWidth="1"/>
    <col min="14" max="14" width="6.3125" style="13" hidden="1" customWidth="1"/>
    <col min="15" max="15" width="23.68359375" style="13" hidden="1" customWidth="1"/>
    <col min="16" max="19" width="12.5234375" style="13" hidden="1" customWidth="1"/>
    <col min="20" max="21" width="12.5234375" style="13" customWidth="1"/>
    <col min="22" max="16384" width="8.89453125" style="13"/>
  </cols>
  <sheetData>
    <row r="1" spans="1:19" ht="68.25" customHeight="1" x14ac:dyDescent="0.6">
      <c r="A1" s="12"/>
      <c r="B1" s="281" t="s">
        <v>28</v>
      </c>
      <c r="C1" s="281"/>
      <c r="D1" s="281"/>
      <c r="E1" s="281"/>
      <c r="F1" s="281"/>
      <c r="G1" s="281"/>
      <c r="H1" s="281"/>
      <c r="I1" s="281"/>
    </row>
    <row r="2" spans="1:19" s="16" customFormat="1" ht="26.25" customHeight="1" x14ac:dyDescent="0.55000000000000004">
      <c r="A2" s="14" t="s">
        <v>29</v>
      </c>
      <c r="B2" s="282" t="str">
        <f>CONCATENATE('Construction Mat'!$B$2:$D$2," ",'Construction Mat'!$B$3:$D$3)</f>
        <v xml:space="preserve">PRXXXX - Name </v>
      </c>
      <c r="C2" s="282"/>
      <c r="D2" s="282"/>
      <c r="E2" s="282"/>
      <c r="F2" s="282"/>
      <c r="G2" s="282"/>
      <c r="H2" s="15" t="s">
        <v>30</v>
      </c>
      <c r="I2" s="190" t="str">
        <f>'Construction Mat'!E3</f>
        <v>TODAY</v>
      </c>
      <c r="K2" s="17" t="s">
        <v>31</v>
      </c>
      <c r="L2" s="18"/>
      <c r="M2" s="18"/>
      <c r="N2" s="18"/>
      <c r="O2" s="17" t="str">
        <f>CONCATENATE(B2,CHAR(10),K2)</f>
        <v>PRXXXX - Name 
Geoweb System Stress Reduction</v>
      </c>
      <c r="P2" s="18"/>
    </row>
    <row r="3" spans="1:19" s="19" customFormat="1" ht="16.5" customHeight="1" x14ac:dyDescent="0.4">
      <c r="A3" s="283" t="s">
        <v>32</v>
      </c>
      <c r="B3" s="285" t="s">
        <v>33</v>
      </c>
      <c r="C3" s="285" t="s">
        <v>34</v>
      </c>
      <c r="D3" s="285" t="s">
        <v>35</v>
      </c>
      <c r="E3" s="285" t="s">
        <v>36</v>
      </c>
      <c r="F3" s="287" t="s">
        <v>37</v>
      </c>
      <c r="G3" s="288"/>
      <c r="H3" s="288"/>
      <c r="I3" s="289"/>
      <c r="K3" s="20"/>
      <c r="L3" s="20"/>
      <c r="M3" s="20"/>
      <c r="N3" s="20"/>
      <c r="O3" s="20"/>
      <c r="P3" s="20"/>
    </row>
    <row r="4" spans="1:19" s="23" customFormat="1" ht="42" customHeight="1" thickBot="1" x14ac:dyDescent="0.45">
      <c r="A4" s="284"/>
      <c r="B4" s="286"/>
      <c r="C4" s="286"/>
      <c r="D4" s="286"/>
      <c r="E4" s="286"/>
      <c r="F4" s="21" t="s">
        <v>38</v>
      </c>
      <c r="G4" s="21" t="s">
        <v>39</v>
      </c>
      <c r="H4" s="21" t="s">
        <v>40</v>
      </c>
      <c r="I4" s="22" t="s">
        <v>41</v>
      </c>
      <c r="K4" s="24"/>
      <c r="L4" s="24"/>
      <c r="M4" s="24"/>
      <c r="N4" s="24"/>
      <c r="O4" s="24"/>
      <c r="P4" s="24"/>
    </row>
    <row r="5" spans="1:19" s="31" customFormat="1" ht="16.5" customHeight="1" x14ac:dyDescent="0.4">
      <c r="A5" s="25" t="s">
        <v>6</v>
      </c>
      <c r="B5" s="26"/>
      <c r="C5" s="27">
        <v>0</v>
      </c>
      <c r="D5" s="28">
        <f>(B31/(PI()*B32))^(1/2)</f>
        <v>7.7298772646121323</v>
      </c>
      <c r="E5" s="27">
        <f>B32</f>
        <v>586</v>
      </c>
      <c r="F5" s="29"/>
      <c r="G5" s="29"/>
      <c r="H5" s="29"/>
      <c r="I5" s="30"/>
      <c r="K5" s="32"/>
      <c r="L5" s="32"/>
      <c r="M5" s="32"/>
      <c r="N5" s="32"/>
      <c r="O5" s="32"/>
      <c r="P5" s="32"/>
    </row>
    <row r="6" spans="1:19" s="31" customFormat="1" ht="16.5" customHeight="1" x14ac:dyDescent="0.4">
      <c r="A6" s="33" t="s">
        <v>42</v>
      </c>
      <c r="B6" s="191">
        <v>2</v>
      </c>
      <c r="C6" s="35">
        <f>C5+B6</f>
        <v>2</v>
      </c>
      <c r="D6" s="28" t="s">
        <v>10</v>
      </c>
      <c r="E6" s="27">
        <f>(E$5*(1-(1/(1+($D$5/C6)^2))^(3/2)))</f>
        <v>576.79005418898464</v>
      </c>
      <c r="F6" s="36"/>
      <c r="G6" s="36"/>
      <c r="H6" s="37"/>
      <c r="I6" s="38"/>
      <c r="K6" s="193">
        <f>B6</f>
        <v>2</v>
      </c>
      <c r="L6" s="39" t="s">
        <v>43</v>
      </c>
      <c r="M6" s="39" t="s">
        <v>44</v>
      </c>
      <c r="N6" s="194"/>
      <c r="O6" s="32"/>
      <c r="P6" s="194" t="str">
        <f>CONCATENATE(K6,L6,M6,N6)</f>
        <v>2" Wear Surface</v>
      </c>
    </row>
    <row r="7" spans="1:19" ht="16.5" customHeight="1" x14ac:dyDescent="0.4">
      <c r="A7" s="33" t="s">
        <v>45</v>
      </c>
      <c r="B7" s="191">
        <v>8</v>
      </c>
      <c r="C7" s="28">
        <f>C6+B7</f>
        <v>10</v>
      </c>
      <c r="D7" s="28" t="s">
        <v>10</v>
      </c>
      <c r="E7" s="27">
        <f>IF(B7&lt;=0,E6,(E$5*(1-(1/(1+($D$5/C7)^2))^(3/2))))</f>
        <v>295.77673232209617</v>
      </c>
      <c r="F7" s="28">
        <f>(E6+E7)/2</f>
        <v>436.28339325554043</v>
      </c>
      <c r="G7" s="28">
        <f>F7*(TAN((45-$D$22/2)*PI()/180))^2</f>
        <v>134.05179168535324</v>
      </c>
      <c r="H7" s="28">
        <f>2*(B7/$C$19)*G7*TAN($B$34*$D$22*PI()/180)</f>
        <v>1258.3635048209323</v>
      </c>
      <c r="I7" s="40">
        <f>E7-H7</f>
        <v>-962.58677249883613</v>
      </c>
      <c r="J7" s="196"/>
      <c r="K7" s="39" t="s">
        <v>46</v>
      </c>
      <c r="L7" s="194">
        <f>'English Units'!$B$19</f>
        <v>49.07100883500631</v>
      </c>
      <c r="M7" s="194" t="s">
        <v>47</v>
      </c>
      <c r="N7" s="193">
        <f>B7</f>
        <v>8</v>
      </c>
      <c r="O7" s="194" t="str">
        <f t="shared" ref="O7:O15" si="0">CONCATENATE(K7,L7,M7,N7)</f>
        <v>Geoweb Layer 49.0710088350063V8</v>
      </c>
      <c r="P7" s="194" t="str">
        <f>IF(B7=0," ",O7)</f>
        <v>Geoweb Layer 49.0710088350063V8</v>
      </c>
      <c r="Q7" s="98"/>
      <c r="R7" s="196">
        <f>IF(B31&lt;17000,4,6)</f>
        <v>6</v>
      </c>
      <c r="S7" s="196" t="e">
        <f ca="1">IF(OR(D42&lt;0,D42&gt;2),0,B8)</f>
        <v>#VALUE!</v>
      </c>
    </row>
    <row r="8" spans="1:19" ht="16.5" customHeight="1" x14ac:dyDescent="0.4">
      <c r="A8" s="33" t="s">
        <v>8</v>
      </c>
      <c r="B8" s="191">
        <v>8</v>
      </c>
      <c r="C8" s="28">
        <f t="shared" ref="C8:C14" si="1">C7+B8</f>
        <v>18</v>
      </c>
      <c r="D8" s="28" t="s">
        <v>10</v>
      </c>
      <c r="E8" s="27">
        <f>IF(B8&lt;=0,I$7,(E$5*(1-(1/(1+($D$5/C8)^2))^(3/2)))-H$7)</f>
        <v>-1126.9754540625077</v>
      </c>
      <c r="F8" s="37"/>
      <c r="G8" s="37"/>
      <c r="H8" s="37"/>
      <c r="I8" s="38"/>
      <c r="J8" s="198"/>
      <c r="K8" s="42">
        <f>B8</f>
        <v>8</v>
      </c>
      <c r="L8" s="194" t="s">
        <v>43</v>
      </c>
      <c r="M8" s="194" t="s">
        <v>48</v>
      </c>
      <c r="N8" s="193" t="s">
        <v>49</v>
      </c>
      <c r="O8" s="194" t="str">
        <f t="shared" si="0"/>
        <v>8" Aggregate Layer</v>
      </c>
      <c r="P8" s="194" t="str">
        <f>IF(K8=0,O15,CONCATENATE(K8,L8,M8," + ",K15,L15))</f>
        <v>8" Aggregate + Non-woven Geotextile</v>
      </c>
      <c r="Q8" s="98" t="str">
        <f>IF(B9=0,P8,O8)</f>
        <v>8" Aggregate + Non-woven Geotextile</v>
      </c>
      <c r="R8" s="196">
        <f>IF('Construction Mat'!C16&gt;2.5,4,6)</f>
        <v>6</v>
      </c>
      <c r="S8" s="196" t="e">
        <f ca="1">IF(D42&gt;B37,S7,S7+1)</f>
        <v>#VALUE!</v>
      </c>
    </row>
    <row r="9" spans="1:19" ht="16.5" hidden="1" customHeight="1" x14ac:dyDescent="0.4">
      <c r="A9" s="33" t="s">
        <v>50</v>
      </c>
      <c r="B9" s="34">
        <v>0</v>
      </c>
      <c r="C9" s="28">
        <f t="shared" si="1"/>
        <v>18</v>
      </c>
      <c r="D9" s="28" t="s">
        <v>10</v>
      </c>
      <c r="E9" s="27">
        <f>IF(B9&lt;=0,E$8,(E$5*(1-(1/(1+($D$5/C9)^2))^(3/2)))-H$7)</f>
        <v>-1126.9754540625077</v>
      </c>
      <c r="F9" s="28">
        <f>(E8+E9)/2</f>
        <v>-1126.9754540625077</v>
      </c>
      <c r="G9" s="28">
        <f>F9*(TAN((45-$D$22/2)*PI()/180))^2</f>
        <v>-346.27281518828505</v>
      </c>
      <c r="H9" s="28">
        <f>2*(B9/$C$19)*G9*TAN($B$34*$D$22*PI()/180)</f>
        <v>0</v>
      </c>
      <c r="I9" s="40">
        <f>E9-H9</f>
        <v>-1126.9754540625077</v>
      </c>
      <c r="J9" s="198"/>
      <c r="K9" s="39" t="s">
        <v>46</v>
      </c>
      <c r="L9" s="194">
        <f>'English Units'!$B$19</f>
        <v>49.07100883500631</v>
      </c>
      <c r="M9" s="194" t="s">
        <v>47</v>
      </c>
      <c r="N9" s="193">
        <f>B9</f>
        <v>0</v>
      </c>
      <c r="O9" s="194" t="str">
        <f t="shared" si="0"/>
        <v>Geoweb Layer 49.0710088350063V0</v>
      </c>
      <c r="P9" s="98" t="str">
        <f>IF(B10=0,CONCATENATE(O9," + ",O15),O9)</f>
        <v>Geoweb Layer 49.0710088350063V0 + Non-woven Geotextile</v>
      </c>
      <c r="Q9" s="194" t="str">
        <f>IF(B9=0," ",P9)</f>
        <v xml:space="preserve"> </v>
      </c>
      <c r="R9" s="98"/>
      <c r="S9" s="196"/>
    </row>
    <row r="10" spans="1:19" ht="16.5" hidden="1" customHeight="1" x14ac:dyDescent="0.4">
      <c r="A10" s="33" t="s">
        <v>8</v>
      </c>
      <c r="B10" s="34">
        <v>0</v>
      </c>
      <c r="C10" s="28">
        <f t="shared" si="1"/>
        <v>18</v>
      </c>
      <c r="D10" s="28" t="s">
        <v>10</v>
      </c>
      <c r="E10" s="27">
        <f>IF(B10&lt;=0,I$9,(E$5*(1-(1/(1+($D$5/C10)^2))^(3/2)))-H$7-H$9)</f>
        <v>-1126.9754540625077</v>
      </c>
      <c r="F10" s="37"/>
      <c r="G10" s="37"/>
      <c r="H10" s="37"/>
      <c r="I10" s="38"/>
      <c r="J10" s="198"/>
      <c r="K10" s="42">
        <f>B10</f>
        <v>0</v>
      </c>
      <c r="L10" s="194" t="s">
        <v>43</v>
      </c>
      <c r="M10" s="194" t="s">
        <v>48</v>
      </c>
      <c r="N10" s="193" t="s">
        <v>49</v>
      </c>
      <c r="O10" s="194" t="str">
        <f t="shared" si="0"/>
        <v>0" Aggregate Layer</v>
      </c>
      <c r="P10" s="194" t="str">
        <f>IF(K10=0," ",IF(K10=0," ",CONCATENATE(K10,L10,M10," + ",K15,L15)))</f>
        <v xml:space="preserve"> </v>
      </c>
      <c r="Q10" s="98"/>
      <c r="R10" s="98"/>
      <c r="S10" s="196"/>
    </row>
    <row r="11" spans="1:19" ht="16.5" hidden="1" customHeight="1" x14ac:dyDescent="0.4">
      <c r="A11" s="33" t="s">
        <v>51</v>
      </c>
      <c r="B11" s="34">
        <v>0</v>
      </c>
      <c r="C11" s="28">
        <f t="shared" si="1"/>
        <v>18</v>
      </c>
      <c r="D11" s="28" t="s">
        <v>10</v>
      </c>
      <c r="E11" s="27">
        <f>IF(B11&lt;=0,E$10,(E$5*(1-(1/(1+($D$5/C11)^2))^(3/2)))-H$7-H$9)</f>
        <v>-1126.9754540625077</v>
      </c>
      <c r="F11" s="28">
        <f>(E10+E11)/2</f>
        <v>-1126.9754540625077</v>
      </c>
      <c r="G11" s="28">
        <f>F11*(TAN((45-$D$22/2)*PI()/180))^2</f>
        <v>-346.27281518828505</v>
      </c>
      <c r="H11" s="28">
        <f>2*(B11/$C$19)*G11*TAN($B$34*$D$22*PI()/180)</f>
        <v>0</v>
      </c>
      <c r="I11" s="40">
        <f>E11-H11</f>
        <v>-1126.9754540625077</v>
      </c>
      <c r="J11" s="198"/>
      <c r="K11" s="39" t="s">
        <v>46</v>
      </c>
      <c r="L11" s="194">
        <f>'English Units'!$B$19</f>
        <v>49.07100883500631</v>
      </c>
      <c r="M11" s="194" t="s">
        <v>47</v>
      </c>
      <c r="N11" s="193">
        <f>B11</f>
        <v>0</v>
      </c>
      <c r="O11" s="194" t="str">
        <f t="shared" si="0"/>
        <v>Geoweb Layer 49.0710088350063V0</v>
      </c>
      <c r="P11" s="194" t="str">
        <f>IF(B11=0," ",O11)</f>
        <v xml:space="preserve"> </v>
      </c>
      <c r="Q11" s="98"/>
      <c r="R11" s="98"/>
      <c r="S11" s="196"/>
    </row>
    <row r="12" spans="1:19" ht="16.5" hidden="1" customHeight="1" x14ac:dyDescent="0.4">
      <c r="A12" s="33" t="s">
        <v>8</v>
      </c>
      <c r="B12" s="34">
        <v>0</v>
      </c>
      <c r="C12" s="28">
        <f t="shared" si="1"/>
        <v>18</v>
      </c>
      <c r="D12" s="28" t="s">
        <v>10</v>
      </c>
      <c r="E12" s="27">
        <f>IF(B12&lt;=0,I$11,(E$5*(1-(1/(1+($D$5/C12)^2))^(3/2)))-H$7-H$9-H$11)</f>
        <v>-1126.9754540625077</v>
      </c>
      <c r="F12" s="37"/>
      <c r="G12" s="37"/>
      <c r="H12" s="37"/>
      <c r="I12" s="38"/>
      <c r="J12" s="198"/>
      <c r="K12" s="42">
        <f>B12</f>
        <v>0</v>
      </c>
      <c r="L12" s="194" t="s">
        <v>43</v>
      </c>
      <c r="M12" s="194" t="s">
        <v>48</v>
      </c>
      <c r="N12" s="193" t="s">
        <v>49</v>
      </c>
      <c r="O12" s="194" t="str">
        <f t="shared" si="0"/>
        <v>0" Aggregate Layer</v>
      </c>
      <c r="P12" s="194" t="str">
        <f>IF(K10=0," ",IF(K12=0," ",CONCATENATE(K12,L12,M12," + ",K15,L15)))</f>
        <v xml:space="preserve"> </v>
      </c>
      <c r="Q12" s="98"/>
      <c r="R12" s="98"/>
      <c r="S12" s="196"/>
    </row>
    <row r="13" spans="1:19" ht="16.5" hidden="1" customHeight="1" x14ac:dyDescent="0.4">
      <c r="A13" s="33" t="s">
        <v>52</v>
      </c>
      <c r="B13" s="34">
        <v>0</v>
      </c>
      <c r="C13" s="28">
        <f t="shared" si="1"/>
        <v>18</v>
      </c>
      <c r="D13" s="28" t="s">
        <v>10</v>
      </c>
      <c r="E13" s="27">
        <f>IF(B13&lt;=0,E$12,(E$5*(1-(1/(1+($D$5/C13)^2))^(3/2)))-H$7-H$9-H$11)</f>
        <v>-1126.9754540625077</v>
      </c>
      <c r="F13" s="28">
        <f>(E12+E13)/2</f>
        <v>-1126.9754540625077</v>
      </c>
      <c r="G13" s="28">
        <f>F13*(TAN((45-$D$22/2)*PI()/180))^2</f>
        <v>-346.27281518828505</v>
      </c>
      <c r="H13" s="28">
        <f>2*(B13/$C$19)*G13*TAN($B$34*$D$22*PI()/180)</f>
        <v>0</v>
      </c>
      <c r="I13" s="40">
        <f>E13-H13</f>
        <v>-1126.9754540625077</v>
      </c>
      <c r="J13" s="198"/>
      <c r="K13" s="39" t="s">
        <v>46</v>
      </c>
      <c r="L13" s="194">
        <f>'English Units'!$B$19</f>
        <v>49.07100883500631</v>
      </c>
      <c r="M13" s="194" t="s">
        <v>47</v>
      </c>
      <c r="N13" s="193">
        <f>B13</f>
        <v>0</v>
      </c>
      <c r="O13" s="194" t="str">
        <f t="shared" si="0"/>
        <v>Geoweb Layer 49.0710088350063V0</v>
      </c>
      <c r="P13" s="194" t="str">
        <f>IF(B13=0," ",O13)</f>
        <v xml:space="preserve"> </v>
      </c>
      <c r="Q13" s="98"/>
      <c r="R13" s="98"/>
      <c r="S13" s="196"/>
    </row>
    <row r="14" spans="1:19" ht="16.5" hidden="1" customHeight="1" x14ac:dyDescent="0.4">
      <c r="A14" s="33" t="s">
        <v>8</v>
      </c>
      <c r="B14" s="34">
        <v>0</v>
      </c>
      <c r="C14" s="28">
        <f t="shared" si="1"/>
        <v>18</v>
      </c>
      <c r="D14" s="28" t="s">
        <v>10</v>
      </c>
      <c r="E14" s="27">
        <f>IF(B14&lt;=0,I$13,(E$5*(1-(1/(1+($D$5/C14)^2))^(3/2)))-H$7-H$9-H$11-H$13)</f>
        <v>-1126.9754540625077</v>
      </c>
      <c r="F14" s="37"/>
      <c r="G14" s="37"/>
      <c r="H14" s="37"/>
      <c r="I14" s="38"/>
      <c r="J14" s="198"/>
      <c r="K14" s="42">
        <f>B14</f>
        <v>0</v>
      </c>
      <c r="L14" s="194" t="s">
        <v>43</v>
      </c>
      <c r="M14" s="194" t="s">
        <v>48</v>
      </c>
      <c r="N14" s="193" t="s">
        <v>49</v>
      </c>
      <c r="O14" s="194" t="str">
        <f t="shared" si="0"/>
        <v>0" Aggregate Layer</v>
      </c>
      <c r="P14" s="194" t="str">
        <f>IF(K12=0," ",IF(K14=0," ",CONCATENATE(K14,L14,M14," + ",K15,L15)))</f>
        <v xml:space="preserve"> </v>
      </c>
      <c r="Q14" s="98"/>
      <c r="R14" s="98"/>
      <c r="S14" s="196"/>
    </row>
    <row r="15" spans="1:19" ht="16.5" customHeight="1" x14ac:dyDescent="0.4">
      <c r="A15" s="43" t="s">
        <v>53</v>
      </c>
      <c r="B15" s="44"/>
      <c r="C15" s="45">
        <f ca="1">INDIRECT(ADDRESS(ROW()-1,COLUMN()))</f>
        <v>18</v>
      </c>
      <c r="D15" s="45" t="s">
        <v>10</v>
      </c>
      <c r="E15" s="46">
        <f ca="1">INDIRECT(ADDRESS(ROW()-1,COLUMN()))</f>
        <v>-1126.9754540625077</v>
      </c>
      <c r="F15" s="47"/>
      <c r="G15" s="47"/>
      <c r="H15" s="47"/>
      <c r="I15" s="48"/>
      <c r="J15" s="98"/>
      <c r="K15" s="193" t="str">
        <f>B35</f>
        <v>Non-woven</v>
      </c>
      <c r="L15" s="39" t="s">
        <v>54</v>
      </c>
      <c r="M15" s="194"/>
      <c r="N15" s="194"/>
      <c r="O15" s="194" t="str">
        <f t="shared" si="0"/>
        <v>Non-woven Geotextile</v>
      </c>
      <c r="P15" s="194" t="str">
        <f>IF(K8=0," ",IF(K10=0," ",IF(K12=0," ",IF(K14=0," ",O15))))</f>
        <v xml:space="preserve"> </v>
      </c>
      <c r="Q15" s="98"/>
      <c r="R15" s="196">
        <f>MAX(R7:R8)</f>
        <v>6</v>
      </c>
      <c r="S15" s="196" t="e">
        <f ca="1">IF(OR(D42&lt;0,D42&gt;1.5),B8-1,B8)</f>
        <v>#VALUE!</v>
      </c>
    </row>
    <row r="16" spans="1:19" ht="16.5" hidden="1" customHeight="1" x14ac:dyDescent="0.4">
      <c r="A16" s="49"/>
      <c r="B16" s="293" t="s">
        <v>55</v>
      </c>
      <c r="C16" s="293"/>
      <c r="D16" s="293"/>
      <c r="E16" s="293"/>
      <c r="F16" s="293"/>
      <c r="G16" s="50"/>
      <c r="H16" s="50"/>
      <c r="I16" s="50"/>
      <c r="J16" s="98"/>
      <c r="K16" s="98"/>
      <c r="L16" s="98"/>
      <c r="M16" s="98"/>
      <c r="N16" s="98"/>
      <c r="O16" s="98"/>
      <c r="P16" s="98"/>
      <c r="Q16" s="98"/>
      <c r="R16" s="98"/>
      <c r="S16" s="98"/>
    </row>
    <row r="17" spans="1:19" ht="16.5" customHeight="1" x14ac:dyDescent="0.4">
      <c r="A17" s="49"/>
      <c r="B17" s="41"/>
      <c r="C17" s="41"/>
      <c r="D17" s="41"/>
      <c r="E17" s="41"/>
      <c r="F17" s="41"/>
      <c r="G17" s="50"/>
      <c r="H17" s="50"/>
      <c r="I17" s="50"/>
      <c r="J17" s="98"/>
      <c r="K17" s="98"/>
      <c r="L17" s="98"/>
      <c r="M17" s="98"/>
      <c r="N17" s="98"/>
      <c r="O17" s="98"/>
      <c r="P17" s="98"/>
      <c r="Q17" s="98"/>
      <c r="R17" s="98"/>
      <c r="S17" s="196" t="e">
        <f ca="1">AVERAGE(S8:S15)</f>
        <v>#VALUE!</v>
      </c>
    </row>
    <row r="18" spans="1:19" ht="16.5" customHeight="1" thickBot="1" x14ac:dyDescent="0.45">
      <c r="A18" s="51" t="s">
        <v>9</v>
      </c>
      <c r="B18" s="52" t="s">
        <v>56</v>
      </c>
      <c r="C18" s="52" t="s">
        <v>57</v>
      </c>
      <c r="D18" s="52" t="s">
        <v>58</v>
      </c>
      <c r="E18" s="53"/>
      <c r="F18" s="53"/>
      <c r="G18" s="54"/>
      <c r="H18" s="54"/>
      <c r="I18" s="55"/>
      <c r="J18" s="98"/>
      <c r="K18" s="98"/>
      <c r="L18" s="98"/>
      <c r="M18" s="98"/>
      <c r="N18" s="98"/>
      <c r="O18" s="98"/>
      <c r="P18" s="98"/>
      <c r="Q18" s="98"/>
      <c r="R18" s="98"/>
      <c r="S18" s="98"/>
    </row>
    <row r="19" spans="1:19" ht="16.5" customHeight="1" x14ac:dyDescent="0.4">
      <c r="A19" s="56"/>
      <c r="B19" s="57">
        <f>S20</f>
        <v>49.07100883500631</v>
      </c>
      <c r="C19" s="58" t="str">
        <f>IF(B19="GW20V",7.5,IF(B19="GW30V",9.5,"1"))</f>
        <v>1</v>
      </c>
      <c r="D19" s="59">
        <f>+B7</f>
        <v>8</v>
      </c>
      <c r="E19" s="60"/>
      <c r="F19" s="60"/>
      <c r="G19" s="61"/>
      <c r="H19" s="61"/>
      <c r="I19" s="62"/>
      <c r="J19" s="98"/>
      <c r="K19" s="98"/>
      <c r="L19" s="98"/>
      <c r="M19" s="98"/>
      <c r="N19" s="98"/>
      <c r="O19" s="98"/>
      <c r="P19" s="98"/>
      <c r="Q19" s="98"/>
      <c r="R19" s="98"/>
      <c r="S19" s="199"/>
    </row>
    <row r="20" spans="1:19" ht="16.5" customHeight="1" x14ac:dyDescent="0.4">
      <c r="A20" s="49"/>
      <c r="B20" s="41"/>
      <c r="C20" s="41"/>
      <c r="D20" s="41"/>
      <c r="E20" s="41"/>
      <c r="F20" s="41"/>
      <c r="G20" s="50"/>
      <c r="H20" s="50"/>
      <c r="I20" s="50"/>
      <c r="J20" s="98"/>
      <c r="K20" s="98"/>
      <c r="L20" s="98"/>
      <c r="M20" s="98"/>
      <c r="N20" s="98"/>
      <c r="O20" s="98"/>
      <c r="P20" s="98"/>
      <c r="Q20" s="98"/>
      <c r="R20" s="98">
        <f>'Construction Mat'!C21</f>
        <v>49.07100883500631</v>
      </c>
      <c r="S20" s="98">
        <f>IF(R20="","GW30V",R20)</f>
        <v>49.07100883500631</v>
      </c>
    </row>
    <row r="21" spans="1:19" ht="39" customHeight="1" thickBot="1" x14ac:dyDescent="0.45">
      <c r="A21" s="63" t="s">
        <v>59</v>
      </c>
      <c r="B21" s="52" t="s">
        <v>25</v>
      </c>
      <c r="C21" s="52" t="s">
        <v>60</v>
      </c>
      <c r="D21" s="52" t="s">
        <v>61</v>
      </c>
      <c r="E21" s="52" t="s">
        <v>62</v>
      </c>
      <c r="F21" s="53"/>
      <c r="G21" s="54"/>
      <c r="H21" s="54"/>
      <c r="I21" s="55"/>
      <c r="J21" s="98"/>
      <c r="K21" s="98"/>
      <c r="L21" s="98"/>
      <c r="M21" s="98"/>
      <c r="N21" s="98"/>
      <c r="O21" s="98"/>
      <c r="P21" s="98"/>
      <c r="Q21" s="98"/>
      <c r="R21" s="98"/>
      <c r="S21" s="98"/>
    </row>
    <row r="22" spans="1:19" x14ac:dyDescent="0.4">
      <c r="A22" s="64" t="s">
        <v>63</v>
      </c>
      <c r="B22" s="136">
        <f>'Construction Mat'!C20</f>
        <v>84</v>
      </c>
      <c r="C22" s="137">
        <v>110</v>
      </c>
      <c r="D22" s="137">
        <v>32</v>
      </c>
      <c r="E22" s="65"/>
      <c r="F22" s="41"/>
      <c r="G22" s="50"/>
      <c r="H22" s="50"/>
      <c r="I22" s="66"/>
    </row>
    <row r="23" spans="1:19" x14ac:dyDescent="0.4">
      <c r="A23" s="43"/>
      <c r="B23" s="67"/>
      <c r="C23" s="68"/>
      <c r="D23" s="68"/>
      <c r="E23" s="69">
        <f ca="1">C22/(12)^3*C15</f>
        <v>1.1458333333333335</v>
      </c>
      <c r="F23" s="60"/>
      <c r="G23" s="61"/>
      <c r="H23" s="61"/>
      <c r="I23" s="62"/>
    </row>
    <row r="24" spans="1:19" ht="16.5" customHeight="1" x14ac:dyDescent="0.4">
      <c r="A24" s="49"/>
      <c r="B24" s="70"/>
      <c r="C24" s="70"/>
      <c r="D24" s="70"/>
      <c r="E24" s="71"/>
      <c r="F24" s="72" t="s">
        <v>10</v>
      </c>
      <c r="G24" s="72"/>
      <c r="H24" s="72"/>
      <c r="I24" s="72"/>
    </row>
    <row r="25" spans="1:19" ht="37.200000000000003" thickBot="1" x14ac:dyDescent="0.45">
      <c r="A25" s="63" t="s">
        <v>64</v>
      </c>
      <c r="B25" s="52" t="s">
        <v>65</v>
      </c>
      <c r="C25" s="52" t="s">
        <v>60</v>
      </c>
      <c r="D25" s="52" t="s">
        <v>66</v>
      </c>
      <c r="E25" s="52" t="s">
        <v>67</v>
      </c>
      <c r="F25" s="53"/>
      <c r="G25" s="52" t="s">
        <v>68</v>
      </c>
      <c r="H25" s="52" t="s">
        <v>69</v>
      </c>
      <c r="I25" s="55"/>
    </row>
    <row r="26" spans="1:19" ht="16.5" customHeight="1" x14ac:dyDescent="0.4">
      <c r="A26" s="25" t="s">
        <v>70</v>
      </c>
      <c r="B26" s="138">
        <f>+SUM(B6:B14)</f>
        <v>18</v>
      </c>
      <c r="C26" s="139">
        <v>0</v>
      </c>
      <c r="D26" s="140"/>
      <c r="E26" s="50"/>
      <c r="F26" s="72"/>
      <c r="G26" s="72"/>
      <c r="H26" s="72"/>
      <c r="I26" s="73"/>
    </row>
    <row r="27" spans="1:19" ht="16.5" customHeight="1" x14ac:dyDescent="0.4">
      <c r="A27" s="33" t="s">
        <v>71</v>
      </c>
      <c r="B27" s="141"/>
      <c r="C27" s="141"/>
      <c r="D27" s="142" t="str">
        <f>IF('Construction Mat'!C15="Undrained Shear Strength",'Construction Mat'!C16,IF('Construction Mat'!C15="CBR",'Construction Mat'!C16*4.34,""))</f>
        <v/>
      </c>
      <c r="E27" s="74"/>
      <c r="F27" s="75"/>
      <c r="G27" s="74" t="e">
        <f>$D$27/434</f>
        <v>#VALUE!</v>
      </c>
      <c r="H27" s="76" t="e">
        <f>19.917*LN(G27 *100) - 3.9928</f>
        <v>#VALUE!</v>
      </c>
      <c r="I27" s="77"/>
    </row>
    <row r="28" spans="1:19" ht="16.5" customHeight="1" x14ac:dyDescent="0.4">
      <c r="A28" s="43"/>
      <c r="B28" s="78"/>
      <c r="C28" s="79"/>
      <c r="D28" s="61"/>
      <c r="E28" s="80">
        <f>-(C26/(12)^3*B26)</f>
        <v>0</v>
      </c>
      <c r="F28" s="81"/>
      <c r="G28" s="81"/>
      <c r="H28" s="81"/>
      <c r="I28" s="82"/>
    </row>
    <row r="29" spans="1:19" ht="16.5" customHeight="1" x14ac:dyDescent="0.4">
      <c r="A29" s="49"/>
      <c r="B29" s="83"/>
      <c r="C29" s="84"/>
      <c r="D29" s="85"/>
      <c r="E29" s="85"/>
      <c r="F29" s="72"/>
      <c r="G29" s="72"/>
      <c r="H29" s="72"/>
      <c r="I29" s="72"/>
    </row>
    <row r="30" spans="1:19" s="90" customFormat="1" ht="16.5" customHeight="1" thickBot="1" x14ac:dyDescent="0.45">
      <c r="A30" s="86" t="s">
        <v>72</v>
      </c>
      <c r="B30" s="87"/>
      <c r="C30" s="88"/>
      <c r="D30" s="88"/>
      <c r="E30" s="88"/>
      <c r="F30" s="88"/>
      <c r="G30" s="88"/>
      <c r="H30" s="88"/>
      <c r="I30" s="89"/>
    </row>
    <row r="31" spans="1:19" ht="16.5" customHeight="1" x14ac:dyDescent="0.4">
      <c r="A31" s="33" t="s">
        <v>73</v>
      </c>
      <c r="B31" s="143">
        <f>'Construction Mat'!C14*1000</f>
        <v>110000</v>
      </c>
      <c r="C31" s="294" t="str">
        <f>CONCATENATE('Construction Mat'!C9," ",'Construction Mat'!C11," Access")</f>
        <v>H-15 Light Fire  Truck or Medium Construction Equipment Access</v>
      </c>
      <c r="D31" s="294"/>
      <c r="E31" s="294"/>
      <c r="F31" s="294"/>
      <c r="G31" s="294"/>
      <c r="H31" s="294"/>
      <c r="I31" s="144" t="s">
        <v>10</v>
      </c>
    </row>
    <row r="32" spans="1:19" ht="16.5" customHeight="1" x14ac:dyDescent="0.4">
      <c r="A32" s="33" t="s">
        <v>74</v>
      </c>
      <c r="B32" s="139">
        <f>'Construction Mat'!C12</f>
        <v>586</v>
      </c>
      <c r="C32" s="140"/>
      <c r="D32" s="140"/>
      <c r="E32" s="140"/>
      <c r="F32" s="140"/>
      <c r="G32" s="140"/>
      <c r="H32" s="140"/>
      <c r="I32" s="144"/>
    </row>
    <row r="33" spans="1:13" ht="16.5" customHeight="1" x14ac:dyDescent="0.4">
      <c r="A33" s="33" t="s">
        <v>75</v>
      </c>
      <c r="B33" s="145">
        <f>IF(I33&gt;0,I33,ATAN(D33/F33)*180/PI())</f>
        <v>45</v>
      </c>
      <c r="C33" s="146" t="s">
        <v>76</v>
      </c>
      <c r="D33" s="147">
        <v>0</v>
      </c>
      <c r="E33" s="146" t="s">
        <v>77</v>
      </c>
      <c r="F33" s="147">
        <v>0</v>
      </c>
      <c r="G33" s="148" t="s">
        <v>78</v>
      </c>
      <c r="H33" s="146" t="s">
        <v>79</v>
      </c>
      <c r="I33" s="149">
        <v>45</v>
      </c>
    </row>
    <row r="34" spans="1:13" ht="16.5" customHeight="1" x14ac:dyDescent="0.4">
      <c r="A34" s="33" t="s">
        <v>80</v>
      </c>
      <c r="B34" s="150">
        <v>0.95</v>
      </c>
      <c r="C34" s="140"/>
      <c r="D34" s="140"/>
      <c r="E34" s="140"/>
      <c r="F34" s="140"/>
      <c r="G34" s="140"/>
      <c r="H34" s="140"/>
      <c r="I34" s="144"/>
    </row>
    <row r="35" spans="1:13" ht="16.5" customHeight="1" x14ac:dyDescent="0.4">
      <c r="A35" s="33" t="s">
        <v>81</v>
      </c>
      <c r="B35" s="142" t="s">
        <v>131</v>
      </c>
      <c r="C35" s="151"/>
      <c r="D35" s="152"/>
      <c r="E35" s="151"/>
      <c r="F35" s="152"/>
      <c r="G35" s="153"/>
      <c r="H35" s="154"/>
      <c r="I35" s="155"/>
    </row>
    <row r="36" spans="1:13" ht="16.5" customHeight="1" x14ac:dyDescent="0.4">
      <c r="A36" s="33" t="s">
        <v>82</v>
      </c>
      <c r="B36" s="156">
        <v>2.8</v>
      </c>
      <c r="C36" s="157" t="str">
        <f>IF(B36&lt;2.8,"2.80 is generally the minimum.","")</f>
        <v/>
      </c>
      <c r="D36" s="135">
        <v>2.8</v>
      </c>
      <c r="E36" s="157"/>
      <c r="F36" s="295"/>
      <c r="G36" s="295"/>
      <c r="H36" s="295"/>
      <c r="I36" s="296"/>
    </row>
    <row r="37" spans="1:13" ht="16.5" customHeight="1" x14ac:dyDescent="0.4">
      <c r="A37" s="43" t="s">
        <v>83</v>
      </c>
      <c r="B37" s="158">
        <v>1.3</v>
      </c>
      <c r="C37" s="159"/>
      <c r="D37" s="160"/>
      <c r="E37" s="161"/>
      <c r="F37" s="162"/>
      <c r="G37" s="162"/>
      <c r="H37" s="162"/>
      <c r="I37" s="163"/>
    </row>
    <row r="38" spans="1:13" ht="16.5" customHeight="1" x14ac:dyDescent="0.4">
      <c r="A38" s="291"/>
      <c r="B38" s="291"/>
      <c r="C38" s="291"/>
      <c r="D38" s="291"/>
      <c r="E38" s="291"/>
      <c r="F38" s="291"/>
      <c r="G38" s="291"/>
      <c r="H38" s="291"/>
      <c r="I38" s="291"/>
      <c r="K38" s="92"/>
      <c r="L38" s="92"/>
      <c r="M38" s="92"/>
    </row>
    <row r="39" spans="1:13" ht="16.5" customHeight="1" thickBot="1" x14ac:dyDescent="0.45">
      <c r="A39" s="93" t="s">
        <v>84</v>
      </c>
      <c r="B39" s="93"/>
      <c r="C39" s="94"/>
      <c r="D39" s="94"/>
      <c r="E39" s="94"/>
      <c r="F39" s="94"/>
      <c r="G39" s="94"/>
      <c r="H39" s="94"/>
      <c r="I39" s="95"/>
      <c r="K39" s="92"/>
      <c r="L39" s="92"/>
      <c r="M39" s="92"/>
    </row>
    <row r="40" spans="1:13" ht="16.5" customHeight="1" x14ac:dyDescent="0.4">
      <c r="A40" s="297" t="s">
        <v>85</v>
      </c>
      <c r="B40" s="298"/>
      <c r="C40" s="96"/>
      <c r="D40" s="97">
        <f ca="1">E15+E23+E28</f>
        <v>-1125.8296207291744</v>
      </c>
      <c r="E40" s="72"/>
      <c r="F40" s="72"/>
      <c r="G40" s="65"/>
      <c r="H40" s="72"/>
      <c r="I40" s="73"/>
      <c r="K40" s="98"/>
      <c r="L40" s="99"/>
      <c r="M40" s="92"/>
    </row>
    <row r="41" spans="1:13" ht="16.5" customHeight="1" x14ac:dyDescent="0.4">
      <c r="A41" s="297" t="s">
        <v>86</v>
      </c>
      <c r="B41" s="298"/>
      <c r="C41" s="28"/>
      <c r="D41" s="100" t="e">
        <f>D27*B36</f>
        <v>#VALUE!</v>
      </c>
      <c r="E41" s="72"/>
      <c r="F41" s="72"/>
      <c r="G41" s="65"/>
      <c r="H41" s="72"/>
      <c r="I41" s="73"/>
      <c r="K41" s="98"/>
      <c r="M41" s="92"/>
    </row>
    <row r="42" spans="1:13" ht="16.5" customHeight="1" x14ac:dyDescent="0.4">
      <c r="A42" s="101" t="s">
        <v>87</v>
      </c>
      <c r="B42" s="102"/>
      <c r="C42" s="45"/>
      <c r="D42" s="103" t="e">
        <f ca="1">D41/D40</f>
        <v>#VALUE!</v>
      </c>
      <c r="E42" s="290" t="e">
        <f ca="1">IF(D42&lt;1,"Change Configuration",(IF(D42&lt;B37,"Design Potentially Good with Factor of Safety","Acceptable Design")))</f>
        <v>#VALUE!</v>
      </c>
      <c r="F42" s="290"/>
      <c r="G42" s="91"/>
      <c r="H42" s="104"/>
      <c r="I42" s="105"/>
      <c r="K42" s="106"/>
      <c r="M42" s="92"/>
    </row>
    <row r="43" spans="1:13" ht="16.5" hidden="1" customHeight="1" x14ac:dyDescent="0.4">
      <c r="A43" s="107" t="s">
        <v>88</v>
      </c>
      <c r="B43" s="91"/>
      <c r="C43" s="108" t="e">
        <f>$D$5/((1/(1-$D$36*$D$27/$B$32)^(2/3))-1)^(1/2)</f>
        <v>#VALUE!</v>
      </c>
      <c r="D43" s="109" t="e">
        <f ca="1">C15/C43*100</f>
        <v>#VALUE!</v>
      </c>
      <c r="E43" s="91"/>
      <c r="F43" s="91"/>
      <c r="G43" s="91"/>
      <c r="H43" s="91"/>
      <c r="I43" s="110"/>
      <c r="K43" s="106"/>
      <c r="M43" s="92"/>
    </row>
    <row r="44" spans="1:13" ht="16.5" customHeight="1" x14ac:dyDescent="0.4">
      <c r="A44" s="111"/>
      <c r="B44" s="112"/>
      <c r="C44" s="85"/>
      <c r="D44" s="85"/>
      <c r="E44" s="85"/>
      <c r="F44" s="85"/>
      <c r="G44" s="85"/>
      <c r="H44" s="85"/>
      <c r="I44" s="85"/>
      <c r="K44" s="106"/>
      <c r="M44" s="92"/>
    </row>
    <row r="45" spans="1:13" ht="16.5" customHeight="1" x14ac:dyDescent="0.4">
      <c r="A45" s="291"/>
      <c r="B45" s="291"/>
      <c r="C45" s="291"/>
      <c r="D45" s="291"/>
      <c r="E45" s="291"/>
      <c r="F45" s="291"/>
      <c r="G45" s="291"/>
      <c r="H45" s="291"/>
      <c r="I45" s="291"/>
    </row>
    <row r="46" spans="1:13" ht="13.2" customHeight="1" x14ac:dyDescent="0.5">
      <c r="A46" s="113" t="s">
        <v>89</v>
      </c>
    </row>
    <row r="47" spans="1:13" ht="12.75" customHeight="1" x14ac:dyDescent="0.5">
      <c r="A47" s="115"/>
    </row>
    <row r="48" spans="1:13" ht="60" customHeight="1" x14ac:dyDescent="0.4">
      <c r="A48" s="292" t="s">
        <v>90</v>
      </c>
      <c r="B48" s="292"/>
      <c r="C48" s="292"/>
      <c r="D48" s="292"/>
      <c r="E48" s="292"/>
      <c r="F48" s="292"/>
      <c r="G48" s="292"/>
      <c r="H48" s="292"/>
      <c r="I48" s="292"/>
    </row>
    <row r="49" spans="1:9" ht="48.75" customHeight="1" x14ac:dyDescent="0.4">
      <c r="A49" s="292" t="s">
        <v>10</v>
      </c>
      <c r="B49" s="292"/>
      <c r="C49" s="292"/>
      <c r="D49" s="292"/>
      <c r="E49" s="292"/>
      <c r="F49" s="292"/>
      <c r="G49" s="292"/>
      <c r="H49" s="292"/>
      <c r="I49" s="292"/>
    </row>
    <row r="50" spans="1:9" ht="15" x14ac:dyDescent="0.5">
      <c r="A50" s="116"/>
    </row>
    <row r="51" spans="1:9" ht="15" x14ac:dyDescent="0.5">
      <c r="A51" s="116"/>
    </row>
  </sheetData>
  <sheetProtection sheet="1" objects="1" scenarios="1"/>
  <mergeCells count="18">
    <mergeCell ref="E42:F42"/>
    <mergeCell ref="A45:I45"/>
    <mergeCell ref="A48:I48"/>
    <mergeCell ref="A49:I49"/>
    <mergeCell ref="B16:F16"/>
    <mergeCell ref="C31:H31"/>
    <mergeCell ref="F36:I36"/>
    <mergeCell ref="A38:I38"/>
    <mergeCell ref="A40:B40"/>
    <mergeCell ref="A41:B41"/>
    <mergeCell ref="B1:I1"/>
    <mergeCell ref="B2:G2"/>
    <mergeCell ref="A3:A4"/>
    <mergeCell ref="B3:B4"/>
    <mergeCell ref="C3:C4"/>
    <mergeCell ref="D3:D4"/>
    <mergeCell ref="E3:E4"/>
    <mergeCell ref="F3:I3"/>
  </mergeCells>
  <conditionalFormatting sqref="B8">
    <cfRule type="expression" dxfId="2" priority="2">
      <formula>$D$42&lt;$B$37</formula>
    </cfRule>
  </conditionalFormatting>
  <conditionalFormatting sqref="B6">
    <cfRule type="cellIs" dxfId="1" priority="1" operator="lessThan">
      <formula>2</formula>
    </cfRule>
  </conditionalFormatting>
  <printOptions horizontalCentered="1"/>
  <pageMargins left="0.75" right="0.75" top="1" bottom="1" header="0.5" footer="0.5"/>
  <pageSetup scale="71" orientation="portrait" horizontalDpi="4294967293" verticalDpi="1200" r:id="rId1"/>
  <headerFooter alignWithMargins="0">
    <oddFooter>&amp;L&amp;D&amp;RPage &amp;P of &amp;N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Data!$U$3:$U$4</xm:f>
          </x14:formula1>
          <xm:sqref>B35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1"/>
  <sheetViews>
    <sheetView view="pageBreakPreview" zoomScale="85" zoomScaleNormal="100" zoomScaleSheetLayoutView="85" workbookViewId="0">
      <selection activeCell="B15" sqref="B15"/>
    </sheetView>
  </sheetViews>
  <sheetFormatPr defaultColWidth="8.89453125" defaultRowHeight="12.3" x14ac:dyDescent="0.4"/>
  <cols>
    <col min="1" max="1" width="31.68359375" style="117" bestFit="1" customWidth="1"/>
    <col min="2" max="8" width="11.5234375" style="114" customWidth="1"/>
    <col min="9" max="9" width="12.5234375" style="114" customWidth="1"/>
    <col min="10" max="10" width="12.5234375" style="13" customWidth="1"/>
    <col min="11" max="11" width="14.1015625" style="13" hidden="1" customWidth="1"/>
    <col min="12" max="12" width="9.3125" style="13" hidden="1" customWidth="1"/>
    <col min="13" max="13" width="13.3125" style="13" hidden="1" customWidth="1"/>
    <col min="14" max="14" width="6.3125" style="13" hidden="1" customWidth="1"/>
    <col min="15" max="15" width="23.68359375" style="13" hidden="1" customWidth="1"/>
    <col min="16" max="19" width="12.5234375" style="13" hidden="1" customWidth="1"/>
    <col min="20" max="21" width="12.5234375" style="13" customWidth="1"/>
    <col min="22" max="16384" width="8.89453125" style="13"/>
  </cols>
  <sheetData>
    <row r="1" spans="1:31" ht="68.25" customHeight="1" x14ac:dyDescent="0.6">
      <c r="A1" s="12"/>
      <c r="B1" s="281" t="s">
        <v>28</v>
      </c>
      <c r="C1" s="281"/>
      <c r="D1" s="281"/>
      <c r="E1" s="281"/>
      <c r="F1" s="281"/>
      <c r="G1" s="281"/>
      <c r="H1" s="281"/>
      <c r="I1" s="281"/>
      <c r="J1" s="98"/>
      <c r="K1" s="98"/>
      <c r="L1" s="98"/>
      <c r="M1" s="98"/>
      <c r="N1" s="98"/>
      <c r="O1" s="98"/>
      <c r="P1" s="98"/>
      <c r="Q1" s="98"/>
      <c r="R1" s="98"/>
      <c r="S1" s="98"/>
      <c r="T1" s="98"/>
      <c r="U1" s="98"/>
      <c r="V1" s="98"/>
      <c r="W1" s="98"/>
      <c r="X1" s="98"/>
      <c r="Y1" s="98"/>
      <c r="Z1" s="98"/>
      <c r="AA1" s="98"/>
      <c r="AB1" s="98"/>
      <c r="AC1" s="98"/>
      <c r="AD1" s="98"/>
      <c r="AE1" s="98"/>
    </row>
    <row r="2" spans="1:31" s="16" customFormat="1" ht="26.25" customHeight="1" x14ac:dyDescent="0.55000000000000004">
      <c r="A2" s="14" t="s">
        <v>29</v>
      </c>
      <c r="B2" s="282" t="str">
        <f>CONCATENATE('Construction Mat'!B2:D2," ",'Construction Mat'!B3:D3)</f>
        <v xml:space="preserve">PRXXXX - Name </v>
      </c>
      <c r="C2" s="282"/>
      <c r="D2" s="282"/>
      <c r="E2" s="282"/>
      <c r="F2" s="282"/>
      <c r="G2" s="282"/>
      <c r="H2" s="15" t="s">
        <v>30</v>
      </c>
      <c r="I2" s="190" t="str">
        <f>'Construction Mat'!E3</f>
        <v>TODAY</v>
      </c>
      <c r="K2" s="17" t="s">
        <v>31</v>
      </c>
      <c r="L2" s="18"/>
      <c r="M2" s="18"/>
      <c r="N2" s="18"/>
      <c r="O2" s="17" t="str">
        <f>CONCATENATE(B2,CHAR(10),K2)</f>
        <v>PRXXXX - Name 
Geoweb System Stress Reduction</v>
      </c>
      <c r="P2" s="18"/>
    </row>
    <row r="3" spans="1:31" s="19" customFormat="1" ht="16.5" customHeight="1" x14ac:dyDescent="0.4">
      <c r="A3" s="283" t="s">
        <v>32</v>
      </c>
      <c r="B3" s="285" t="s">
        <v>112</v>
      </c>
      <c r="C3" s="285" t="s">
        <v>113</v>
      </c>
      <c r="D3" s="285" t="s">
        <v>114</v>
      </c>
      <c r="E3" s="285" t="s">
        <v>115</v>
      </c>
      <c r="F3" s="287" t="s">
        <v>37</v>
      </c>
      <c r="G3" s="288"/>
      <c r="H3" s="288"/>
      <c r="I3" s="289"/>
      <c r="K3" s="20"/>
      <c r="L3" s="20"/>
      <c r="M3" s="20"/>
      <c r="N3" s="20"/>
      <c r="O3" s="20"/>
      <c r="P3" s="20"/>
    </row>
    <row r="4" spans="1:31" s="23" customFormat="1" ht="42" customHeight="1" thickBot="1" x14ac:dyDescent="0.45">
      <c r="A4" s="284"/>
      <c r="B4" s="286"/>
      <c r="C4" s="286"/>
      <c r="D4" s="286"/>
      <c r="E4" s="286"/>
      <c r="F4" s="21" t="s">
        <v>116</v>
      </c>
      <c r="G4" s="21" t="s">
        <v>117</v>
      </c>
      <c r="H4" s="21" t="s">
        <v>118</v>
      </c>
      <c r="I4" s="22" t="s">
        <v>119</v>
      </c>
      <c r="K4" s="24"/>
      <c r="L4" s="24"/>
      <c r="M4" s="24"/>
      <c r="N4" s="24"/>
      <c r="O4" s="24"/>
      <c r="P4" s="24"/>
    </row>
    <row r="5" spans="1:31" s="31" customFormat="1" ht="16.5" customHeight="1" x14ac:dyDescent="0.4">
      <c r="A5" s="33" t="s">
        <v>6</v>
      </c>
      <c r="B5" s="26"/>
      <c r="C5" s="27">
        <v>0</v>
      </c>
      <c r="D5" s="28">
        <f>(B31/(PI()*B32))^(1/2)</f>
        <v>0.24444018189726405</v>
      </c>
      <c r="E5" s="27">
        <f>B32</f>
        <v>586</v>
      </c>
      <c r="F5" s="29"/>
      <c r="G5" s="29"/>
      <c r="H5" s="29"/>
      <c r="I5" s="30"/>
      <c r="K5" s="32"/>
      <c r="L5" s="32"/>
      <c r="M5" s="32"/>
      <c r="N5" s="32"/>
      <c r="O5" s="32"/>
      <c r="P5" s="32"/>
    </row>
    <row r="6" spans="1:31" s="31" customFormat="1" ht="16.5" customHeight="1" x14ac:dyDescent="0.4">
      <c r="A6" s="33" t="s">
        <v>42</v>
      </c>
      <c r="B6" s="192">
        <v>5.0799999999999998E-2</v>
      </c>
      <c r="C6" s="35">
        <f>C5+B6</f>
        <v>5.0799999999999998E-2</v>
      </c>
      <c r="D6" s="28" t="s">
        <v>10</v>
      </c>
      <c r="E6" s="27">
        <f>(E$5*(1-(1/(1+($D$5/C6)^2))^(3/2)))</f>
        <v>581.06342322232615</v>
      </c>
      <c r="F6" s="36"/>
      <c r="G6" s="36"/>
      <c r="H6" s="37"/>
      <c r="I6" s="38"/>
      <c r="K6" s="193">
        <f>B6</f>
        <v>5.0799999999999998E-2</v>
      </c>
      <c r="L6" s="39" t="s">
        <v>120</v>
      </c>
      <c r="M6" s="39" t="s">
        <v>44</v>
      </c>
      <c r="N6" s="194"/>
      <c r="O6" s="32"/>
      <c r="P6" s="194" t="str">
        <f>CONCATENATE(K6,L6,M6,N6)</f>
        <v>0.0508 mm Wear Surface</v>
      </c>
    </row>
    <row r="7" spans="1:31" ht="16.5" customHeight="1" x14ac:dyDescent="0.4">
      <c r="A7" s="33" t="s">
        <v>45</v>
      </c>
      <c r="B7" s="192">
        <v>0.15</v>
      </c>
      <c r="C7" s="28">
        <f>C6+B7</f>
        <v>0.20079999999999998</v>
      </c>
      <c r="D7" s="28" t="s">
        <v>10</v>
      </c>
      <c r="E7" s="27">
        <f>IF(B7&lt;=0,E6,(E$5*(1-(1/(1+($D$5/C7)^2))^(3/2))))</f>
        <v>436.12741460134112</v>
      </c>
      <c r="F7" s="28">
        <f>(E6+E7)/2</f>
        <v>508.59541891183363</v>
      </c>
      <c r="G7" s="28">
        <f>F7*(TAN((45-$D$22/2)*PI()/180))^2</f>
        <v>156.27027799373676</v>
      </c>
      <c r="H7" s="28">
        <f>2*(B7/$C$19)*G7*TAN($B$34*$D$22*PI()/180)</f>
        <v>27.504968263092856</v>
      </c>
      <c r="I7" s="40">
        <f>E7-H7</f>
        <v>408.62244633824827</v>
      </c>
      <c r="J7" s="198"/>
      <c r="K7" s="39" t="s">
        <v>46</v>
      </c>
      <c r="L7" s="194">
        <f>'Metric Units'!$B$19</f>
        <v>49.07100883500631</v>
      </c>
      <c r="M7" s="194" t="s">
        <v>47</v>
      </c>
      <c r="N7" s="193">
        <f>ROUNDUP(B7/0.0254,1)</f>
        <v>6</v>
      </c>
      <c r="O7" s="194" t="str">
        <f t="shared" ref="O7:O15" si="0">CONCATENATE(K7,L7,M7,N7)</f>
        <v>Geoweb Layer 49.0710088350063V6</v>
      </c>
      <c r="P7" s="194" t="str">
        <f>IF(B7=0," ",O7)</f>
        <v>Geoweb Layer 49.0710088350063V6</v>
      </c>
      <c r="Q7" s="98"/>
      <c r="R7" s="199" t="e">
        <f ca="1">IF(OR(D42&lt;0,D42&gt;2),0,B8)</f>
        <v>#VALUE!</v>
      </c>
      <c r="S7" s="98">
        <f>IF(B31&lt;100,0.1,0.15)</f>
        <v>0.15</v>
      </c>
      <c r="T7" s="98"/>
      <c r="U7" s="98"/>
      <c r="V7" s="98"/>
      <c r="W7" s="98"/>
      <c r="X7" s="98"/>
      <c r="Y7" s="98"/>
      <c r="Z7" s="98"/>
      <c r="AA7" s="98"/>
      <c r="AB7" s="98"/>
      <c r="AC7" s="98"/>
      <c r="AD7" s="98"/>
      <c r="AE7" s="98"/>
    </row>
    <row r="8" spans="1:31" ht="16.5" customHeight="1" x14ac:dyDescent="0.4">
      <c r="A8" s="33" t="s">
        <v>8</v>
      </c>
      <c r="B8" s="191">
        <v>0.15</v>
      </c>
      <c r="C8" s="28">
        <f t="shared" ref="C8:C14" si="1">C7+B8</f>
        <v>0.3508</v>
      </c>
      <c r="D8" s="28" t="s">
        <v>10</v>
      </c>
      <c r="E8" s="27">
        <f>IF(B8&lt;=0,I$7,(E$5*(1-(1/(1+($D$5/C8)^2))^(3/2)))-H$7)</f>
        <v>234.84877078939274</v>
      </c>
      <c r="F8" s="37"/>
      <c r="G8" s="37"/>
      <c r="H8" s="37"/>
      <c r="I8" s="38"/>
      <c r="J8" s="198"/>
      <c r="K8" s="42">
        <f>B8</f>
        <v>0.15</v>
      </c>
      <c r="L8" s="194" t="s">
        <v>120</v>
      </c>
      <c r="M8" s="194" t="s">
        <v>48</v>
      </c>
      <c r="N8" s="193" t="s">
        <v>49</v>
      </c>
      <c r="O8" s="194" t="str">
        <f t="shared" si="0"/>
        <v>0.15 mm Aggregate Layer</v>
      </c>
      <c r="P8" s="194" t="str">
        <f>IF(K8=0,O15,CONCATENATE(K8,L8,M8," + ",K15,L15))</f>
        <v>0.15 mm Aggregate + Non-woven Geotextile</v>
      </c>
      <c r="Q8" s="98" t="str">
        <f>IF(B9=0,P8,O8)</f>
        <v>0.15 mm Aggregate + Non-woven Geotextile</v>
      </c>
      <c r="R8" s="199" t="e">
        <f ca="1">IF(D42&gt;B37,R7,R7+0.025)</f>
        <v>#VALUE!</v>
      </c>
      <c r="S8" s="98">
        <f>IF('Construction Mat'!C16&gt;2.5,0.1,0.15)</f>
        <v>0.15</v>
      </c>
      <c r="T8" s="98"/>
      <c r="U8" s="98"/>
      <c r="V8" s="98"/>
      <c r="W8" s="98"/>
      <c r="X8" s="98"/>
      <c r="Y8" s="98"/>
      <c r="Z8" s="98"/>
      <c r="AA8" s="98"/>
      <c r="AB8" s="98"/>
      <c r="AC8" s="98"/>
      <c r="AD8" s="98"/>
      <c r="AE8" s="98"/>
    </row>
    <row r="9" spans="1:31" ht="16.5" hidden="1" customHeight="1" x14ac:dyDescent="0.4">
      <c r="A9" s="33" t="s">
        <v>50</v>
      </c>
      <c r="B9" s="34">
        <v>0</v>
      </c>
      <c r="C9" s="28">
        <f t="shared" si="1"/>
        <v>0.3508</v>
      </c>
      <c r="D9" s="28" t="s">
        <v>10</v>
      </c>
      <c r="E9" s="27">
        <f>IF(B9&lt;=0,E$8,(E$5*(1-(1/(1+($D$5/C9)^2))^(3/2)))-H$7)</f>
        <v>234.84877078939274</v>
      </c>
      <c r="F9" s="28">
        <f>(E8+E9)/2</f>
        <v>234.84877078939274</v>
      </c>
      <c r="G9" s="28">
        <f>F9*(TAN((45-$D$22/2)*PI()/180))^2</f>
        <v>72.159286798664212</v>
      </c>
      <c r="H9" s="28">
        <f>2*(B9/$C$19)*G9*TAN($B$34*$D$22*PI()/180)</f>
        <v>0</v>
      </c>
      <c r="I9" s="40">
        <f>E9-H9</f>
        <v>234.84877078939274</v>
      </c>
      <c r="J9" s="198"/>
      <c r="K9" s="39" t="s">
        <v>46</v>
      </c>
      <c r="L9" s="194">
        <f>'Metric Units'!$B$19</f>
        <v>49.07100883500631</v>
      </c>
      <c r="M9" s="194" t="s">
        <v>47</v>
      </c>
      <c r="N9" s="193">
        <f>ROUNDUP(B9/0.0254,1)</f>
        <v>0</v>
      </c>
      <c r="O9" s="194" t="str">
        <f t="shared" si="0"/>
        <v>Geoweb Layer 49.0710088350063V0</v>
      </c>
      <c r="P9" s="98" t="str">
        <f>IF(B10=0,CONCATENATE(O9," + ",O15),O9)</f>
        <v>Geoweb Layer 49.0710088350063V0 + Non-woven Geotextile</v>
      </c>
      <c r="Q9" s="194" t="str">
        <f>IF(B9=0," ",P9)</f>
        <v xml:space="preserve"> </v>
      </c>
      <c r="R9" s="196"/>
      <c r="S9" s="98"/>
      <c r="T9" s="98"/>
      <c r="U9" s="98"/>
      <c r="V9" s="98"/>
      <c r="W9" s="98"/>
      <c r="X9" s="98"/>
      <c r="Y9" s="98"/>
      <c r="Z9" s="98"/>
      <c r="AA9" s="98"/>
      <c r="AB9" s="98"/>
      <c r="AC9" s="98"/>
      <c r="AD9" s="98"/>
      <c r="AE9" s="98"/>
    </row>
    <row r="10" spans="1:31" ht="16.5" hidden="1" customHeight="1" x14ac:dyDescent="0.4">
      <c r="A10" s="33" t="s">
        <v>8</v>
      </c>
      <c r="B10" s="34">
        <v>0</v>
      </c>
      <c r="C10" s="28">
        <f t="shared" si="1"/>
        <v>0.3508</v>
      </c>
      <c r="D10" s="28" t="s">
        <v>10</v>
      </c>
      <c r="E10" s="27">
        <f>IF(B10&lt;=0,I$9,(E$5*(1-(1/(1+($D$5/C10)^2))^(3/2)))-H$7-H$9)</f>
        <v>234.84877078939274</v>
      </c>
      <c r="F10" s="37"/>
      <c r="G10" s="37"/>
      <c r="H10" s="37"/>
      <c r="I10" s="38"/>
      <c r="J10" s="198"/>
      <c r="K10" s="42">
        <f>B10</f>
        <v>0</v>
      </c>
      <c r="L10" s="194" t="s">
        <v>120</v>
      </c>
      <c r="M10" s="194" t="s">
        <v>48</v>
      </c>
      <c r="N10" s="193" t="s">
        <v>49</v>
      </c>
      <c r="O10" s="194" t="str">
        <f t="shared" si="0"/>
        <v>0 mm Aggregate Layer</v>
      </c>
      <c r="P10" s="194" t="str">
        <f>IF(K10=0," ",IF(K10=0," ",CONCATENATE(K10,L10,M10," + ",K15,L15)))</f>
        <v xml:space="preserve"> </v>
      </c>
      <c r="Q10" s="98"/>
      <c r="R10" s="196"/>
      <c r="S10" s="98"/>
      <c r="T10" s="98"/>
      <c r="U10" s="98"/>
      <c r="V10" s="98"/>
      <c r="W10" s="98"/>
      <c r="X10" s="98"/>
      <c r="Y10" s="98"/>
      <c r="Z10" s="98"/>
      <c r="AA10" s="98"/>
      <c r="AB10" s="98"/>
      <c r="AC10" s="98"/>
      <c r="AD10" s="98"/>
      <c r="AE10" s="98"/>
    </row>
    <row r="11" spans="1:31" ht="16.5" hidden="1" customHeight="1" x14ac:dyDescent="0.4">
      <c r="A11" s="33" t="s">
        <v>51</v>
      </c>
      <c r="B11" s="34">
        <v>0</v>
      </c>
      <c r="C11" s="28">
        <f t="shared" si="1"/>
        <v>0.3508</v>
      </c>
      <c r="D11" s="28" t="s">
        <v>10</v>
      </c>
      <c r="E11" s="27">
        <f>IF(B11&lt;=0,E$10,(E$5*(1-(1/(1+($D$5/C11)^2))^(3/2)))-H$7-H$9)</f>
        <v>234.84877078939274</v>
      </c>
      <c r="F11" s="28">
        <f>(E10+E11)/2</f>
        <v>234.84877078939274</v>
      </c>
      <c r="G11" s="28">
        <f>F11*(TAN((45-$D$22/2)*PI()/180))^2</f>
        <v>72.159286798664212</v>
      </c>
      <c r="H11" s="28">
        <f>2*(B11/$C$19)*G11*TAN($B$34*$D$22*PI()/180)</f>
        <v>0</v>
      </c>
      <c r="I11" s="40">
        <f>E11-H11</f>
        <v>234.84877078939274</v>
      </c>
      <c r="J11" s="198"/>
      <c r="K11" s="39" t="s">
        <v>46</v>
      </c>
      <c r="L11" s="194">
        <f>'Metric Units'!$B$19</f>
        <v>49.07100883500631</v>
      </c>
      <c r="M11" s="194" t="s">
        <v>47</v>
      </c>
      <c r="N11" s="193">
        <f>B11</f>
        <v>0</v>
      </c>
      <c r="O11" s="194" t="str">
        <f t="shared" si="0"/>
        <v>Geoweb Layer 49.0710088350063V0</v>
      </c>
      <c r="P11" s="194" t="str">
        <f>IF(B11=0," ",O11)</f>
        <v xml:space="preserve"> </v>
      </c>
      <c r="Q11" s="98"/>
      <c r="R11" s="196"/>
      <c r="S11" s="98"/>
      <c r="T11" s="98"/>
      <c r="U11" s="98"/>
      <c r="V11" s="98"/>
      <c r="W11" s="98"/>
      <c r="X11" s="98"/>
      <c r="Y11" s="98"/>
      <c r="Z11" s="98"/>
      <c r="AA11" s="98"/>
      <c r="AB11" s="98"/>
      <c r="AC11" s="98"/>
      <c r="AD11" s="98"/>
      <c r="AE11" s="98"/>
    </row>
    <row r="12" spans="1:31" ht="16.5" hidden="1" customHeight="1" x14ac:dyDescent="0.4">
      <c r="A12" s="33" t="s">
        <v>8</v>
      </c>
      <c r="B12" s="34">
        <v>0</v>
      </c>
      <c r="C12" s="28">
        <f t="shared" si="1"/>
        <v>0.3508</v>
      </c>
      <c r="D12" s="28" t="s">
        <v>10</v>
      </c>
      <c r="E12" s="27">
        <f>IF(B12&lt;=0,I$11,(E$5*(1-(1/(1+($D$5/C12)^2))^(3/2)))-H$7-H$9-H$11)</f>
        <v>234.84877078939274</v>
      </c>
      <c r="F12" s="37"/>
      <c r="G12" s="37"/>
      <c r="H12" s="37"/>
      <c r="I12" s="38"/>
      <c r="J12" s="198"/>
      <c r="K12" s="42">
        <f>B12</f>
        <v>0</v>
      </c>
      <c r="L12" s="194" t="s">
        <v>120</v>
      </c>
      <c r="M12" s="194" t="s">
        <v>48</v>
      </c>
      <c r="N12" s="193" t="s">
        <v>49</v>
      </c>
      <c r="O12" s="194" t="str">
        <f t="shared" si="0"/>
        <v>0 mm Aggregate Layer</v>
      </c>
      <c r="P12" s="194" t="str">
        <f>IF(K10=0," ",IF(K12=0," ",CONCATENATE(K12,L12,M12," + ",K15,L15)))</f>
        <v xml:space="preserve"> </v>
      </c>
      <c r="Q12" s="98"/>
      <c r="R12" s="196"/>
      <c r="S12" s="98"/>
      <c r="T12" s="98"/>
      <c r="U12" s="98"/>
      <c r="V12" s="98"/>
      <c r="W12" s="98"/>
      <c r="X12" s="98"/>
      <c r="Y12" s="98"/>
      <c r="Z12" s="98"/>
      <c r="AA12" s="98"/>
      <c r="AB12" s="98"/>
      <c r="AC12" s="98"/>
      <c r="AD12" s="98"/>
      <c r="AE12" s="98"/>
    </row>
    <row r="13" spans="1:31" ht="16.5" hidden="1" customHeight="1" x14ac:dyDescent="0.4">
      <c r="A13" s="33" t="s">
        <v>52</v>
      </c>
      <c r="B13" s="34">
        <v>0</v>
      </c>
      <c r="C13" s="28">
        <f t="shared" si="1"/>
        <v>0.3508</v>
      </c>
      <c r="D13" s="28" t="s">
        <v>10</v>
      </c>
      <c r="E13" s="27">
        <f>IF(B13&lt;=0,E$12,(E$5*(1-(1/(1+($D$5/C13)^2))^(3/2)))-H$7-H$9-H$11)</f>
        <v>234.84877078939274</v>
      </c>
      <c r="F13" s="28">
        <f>(E12+E13)/2</f>
        <v>234.84877078939274</v>
      </c>
      <c r="G13" s="28">
        <f>F13*(TAN((45-$D$22/2)*PI()/180))^2</f>
        <v>72.159286798664212</v>
      </c>
      <c r="H13" s="28">
        <f>2*(B13/$C$19)*G13*TAN($B$34*$D$22*PI()/180)</f>
        <v>0</v>
      </c>
      <c r="I13" s="40">
        <f>E13-H13</f>
        <v>234.84877078939274</v>
      </c>
      <c r="J13" s="198"/>
      <c r="K13" s="39" t="s">
        <v>46</v>
      </c>
      <c r="L13" s="194">
        <f>'Metric Units'!$B$19</f>
        <v>49.07100883500631</v>
      </c>
      <c r="M13" s="194" t="s">
        <v>47</v>
      </c>
      <c r="N13" s="193">
        <f>B13</f>
        <v>0</v>
      </c>
      <c r="O13" s="194" t="str">
        <f t="shared" si="0"/>
        <v>Geoweb Layer 49.0710088350063V0</v>
      </c>
      <c r="P13" s="194" t="str">
        <f>IF(B13=0," ",O13)</f>
        <v xml:space="preserve"> </v>
      </c>
      <c r="Q13" s="98"/>
      <c r="R13" s="196"/>
      <c r="S13" s="98"/>
      <c r="T13" s="98"/>
      <c r="U13" s="98"/>
      <c r="V13" s="98"/>
      <c r="W13" s="98"/>
      <c r="X13" s="98"/>
      <c r="Y13" s="98"/>
      <c r="Z13" s="98"/>
      <c r="AA13" s="98"/>
      <c r="AB13" s="98"/>
      <c r="AC13" s="98"/>
      <c r="AD13" s="98"/>
      <c r="AE13" s="98"/>
    </row>
    <row r="14" spans="1:31" ht="16.5" hidden="1" customHeight="1" x14ac:dyDescent="0.4">
      <c r="A14" s="33" t="s">
        <v>8</v>
      </c>
      <c r="B14" s="34">
        <v>0</v>
      </c>
      <c r="C14" s="28">
        <f t="shared" si="1"/>
        <v>0.3508</v>
      </c>
      <c r="D14" s="28" t="s">
        <v>10</v>
      </c>
      <c r="E14" s="27">
        <f>IF(B14&lt;=0,I$13,(E$5*(1-(1/(1+($D$5/C14)^2))^(3/2)))-H$7-H$9-H$11-H$13)</f>
        <v>234.84877078939274</v>
      </c>
      <c r="F14" s="37"/>
      <c r="G14" s="37"/>
      <c r="H14" s="37"/>
      <c r="I14" s="38"/>
      <c r="J14" s="198"/>
      <c r="K14" s="42">
        <f>B14</f>
        <v>0</v>
      </c>
      <c r="L14" s="194" t="s">
        <v>120</v>
      </c>
      <c r="M14" s="194" t="s">
        <v>48</v>
      </c>
      <c r="N14" s="193" t="s">
        <v>49</v>
      </c>
      <c r="O14" s="194" t="str">
        <f t="shared" si="0"/>
        <v>0 mm Aggregate Layer</v>
      </c>
      <c r="P14" s="194" t="str">
        <f>IF(K12=0," ",IF(K14=0," ",CONCATENATE(K14,L14,M14," + ",K15,L15)))</f>
        <v xml:space="preserve"> </v>
      </c>
      <c r="Q14" s="98"/>
      <c r="R14" s="196"/>
      <c r="S14" s="98"/>
      <c r="T14" s="98"/>
      <c r="U14" s="98"/>
      <c r="V14" s="98"/>
      <c r="W14" s="98"/>
      <c r="X14" s="98"/>
      <c r="Y14" s="98"/>
      <c r="Z14" s="98"/>
      <c r="AA14" s="98"/>
      <c r="AB14" s="98"/>
      <c r="AC14" s="98"/>
      <c r="AD14" s="98"/>
      <c r="AE14" s="98"/>
    </row>
    <row r="15" spans="1:31" ht="16.5" customHeight="1" x14ac:dyDescent="0.4">
      <c r="A15" s="43" t="s">
        <v>53</v>
      </c>
      <c r="B15" s="44"/>
      <c r="C15" s="45">
        <f ca="1">INDIRECT(ADDRESS(ROW()-1,COLUMN()))</f>
        <v>0.3508</v>
      </c>
      <c r="D15" s="45" t="s">
        <v>10</v>
      </c>
      <c r="E15" s="46">
        <f ca="1">INDIRECT(ADDRESS(ROW()-1,COLUMN()))</f>
        <v>234.84877078939274</v>
      </c>
      <c r="F15" s="47"/>
      <c r="G15" s="47"/>
      <c r="H15" s="47"/>
      <c r="I15" s="48"/>
      <c r="J15" s="98"/>
      <c r="K15" s="193" t="str">
        <f>B35</f>
        <v>Non-woven</v>
      </c>
      <c r="L15" s="39" t="s">
        <v>54</v>
      </c>
      <c r="M15" s="194"/>
      <c r="N15" s="194"/>
      <c r="O15" s="194" t="str">
        <f t="shared" si="0"/>
        <v>Non-woven Geotextile</v>
      </c>
      <c r="P15" s="194" t="str">
        <f>IF(K8=0," ",IF(K10=0," ",IF(K12=0," ",IF(K14=0," ",O15))))</f>
        <v xml:space="preserve"> </v>
      </c>
      <c r="Q15" s="98"/>
      <c r="R15" s="199" t="e">
        <f ca="1">IF(OR(D42&lt;0,D42&gt;1.5),B8-0.025,B8)</f>
        <v>#VALUE!</v>
      </c>
      <c r="S15" s="98">
        <f>MAX(S7:S8)</f>
        <v>0.15</v>
      </c>
      <c r="T15" s="98"/>
      <c r="U15" s="98"/>
      <c r="V15" s="98"/>
      <c r="W15" s="98"/>
      <c r="X15" s="98"/>
      <c r="Y15" s="98"/>
      <c r="Z15" s="98"/>
      <c r="AA15" s="98"/>
      <c r="AB15" s="98"/>
      <c r="AC15" s="98"/>
      <c r="AD15" s="98"/>
      <c r="AE15" s="98"/>
    </row>
    <row r="16" spans="1:31" ht="16.5" hidden="1" customHeight="1" x14ac:dyDescent="0.4">
      <c r="A16" s="49"/>
      <c r="B16" s="293" t="s">
        <v>55</v>
      </c>
      <c r="C16" s="293"/>
      <c r="D16" s="293"/>
      <c r="E16" s="293"/>
      <c r="F16" s="293"/>
      <c r="G16" s="50"/>
      <c r="H16" s="50"/>
      <c r="I16" s="50"/>
      <c r="J16" s="98"/>
      <c r="K16" s="98"/>
      <c r="L16" s="98"/>
      <c r="M16" s="98"/>
      <c r="N16" s="98"/>
      <c r="O16" s="98"/>
      <c r="P16" s="98"/>
      <c r="Q16" s="98"/>
      <c r="R16" s="98"/>
      <c r="S16" s="98"/>
      <c r="T16" s="98"/>
      <c r="U16" s="98"/>
      <c r="V16" s="98"/>
      <c r="W16" s="98"/>
      <c r="X16" s="98"/>
      <c r="Y16" s="98"/>
      <c r="Z16" s="98"/>
      <c r="AA16" s="98"/>
      <c r="AB16" s="98"/>
      <c r="AC16" s="98"/>
      <c r="AD16" s="98"/>
      <c r="AE16" s="98"/>
    </row>
    <row r="17" spans="1:31" ht="16.5" customHeight="1" x14ac:dyDescent="0.4">
      <c r="A17" s="49"/>
      <c r="B17" s="41"/>
      <c r="C17" s="41"/>
      <c r="D17" s="41"/>
      <c r="E17" s="41"/>
      <c r="F17" s="41"/>
      <c r="G17" s="50"/>
      <c r="H17" s="50"/>
      <c r="I17" s="50"/>
      <c r="J17" s="98"/>
      <c r="K17" s="98"/>
      <c r="L17" s="98"/>
      <c r="M17" s="98"/>
      <c r="N17" s="98"/>
      <c r="O17" s="98"/>
      <c r="P17" s="98"/>
      <c r="Q17" s="98"/>
      <c r="R17" s="199" t="e">
        <f ca="1">AVERAGE(R8:R15)</f>
        <v>#VALUE!</v>
      </c>
      <c r="S17" s="98"/>
      <c r="T17" s="98"/>
      <c r="U17" s="98"/>
      <c r="V17" s="98"/>
      <c r="W17" s="98"/>
      <c r="X17" s="98"/>
      <c r="Y17" s="98"/>
      <c r="Z17" s="98"/>
      <c r="AA17" s="98"/>
      <c r="AB17" s="98"/>
      <c r="AC17" s="98"/>
      <c r="AD17" s="98"/>
      <c r="AE17" s="98"/>
    </row>
    <row r="18" spans="1:31" ht="16.5" customHeight="1" thickBot="1" x14ac:dyDescent="0.45">
      <c r="A18" s="51" t="s">
        <v>9</v>
      </c>
      <c r="B18" s="52" t="s">
        <v>56</v>
      </c>
      <c r="C18" s="52" t="s">
        <v>57</v>
      </c>
      <c r="D18" s="52" t="s">
        <v>121</v>
      </c>
      <c r="E18" s="53"/>
      <c r="F18" s="53"/>
      <c r="G18" s="54"/>
      <c r="H18" s="54"/>
      <c r="I18" s="55"/>
      <c r="J18" s="98"/>
      <c r="K18" s="98"/>
      <c r="L18" s="98"/>
      <c r="M18" s="98"/>
      <c r="N18" s="98"/>
      <c r="O18" s="98"/>
      <c r="P18" s="98"/>
      <c r="Q18" s="98"/>
      <c r="R18" s="98"/>
      <c r="S18" s="98"/>
      <c r="T18" s="98"/>
      <c r="U18" s="98"/>
      <c r="V18" s="98"/>
      <c r="W18" s="98"/>
      <c r="X18" s="98"/>
      <c r="Y18" s="98"/>
      <c r="Z18" s="98"/>
      <c r="AA18" s="98"/>
      <c r="AB18" s="98"/>
      <c r="AC18" s="98"/>
      <c r="AD18" s="98"/>
      <c r="AE18" s="98"/>
    </row>
    <row r="19" spans="1:31" ht="16.5" customHeight="1" x14ac:dyDescent="0.4">
      <c r="A19" s="56"/>
      <c r="B19" s="57">
        <f>S20</f>
        <v>49.07100883500631</v>
      </c>
      <c r="C19" s="58" t="str">
        <f>IF(B19="GW20V",0.19,IF(B19="GW30V",0.24,"1"))</f>
        <v>1</v>
      </c>
      <c r="D19" s="59">
        <f>+B7</f>
        <v>0.15</v>
      </c>
      <c r="E19" s="60"/>
      <c r="F19" s="60"/>
      <c r="G19" s="61"/>
      <c r="H19" s="61"/>
      <c r="I19" s="62"/>
      <c r="J19" s="98"/>
      <c r="K19" s="98"/>
      <c r="L19" s="98"/>
      <c r="M19" s="98"/>
      <c r="N19" s="98"/>
      <c r="O19" s="98"/>
      <c r="P19" s="98"/>
      <c r="Q19" s="98"/>
      <c r="R19" s="98"/>
      <c r="S19" s="98"/>
      <c r="T19" s="98"/>
      <c r="U19" s="98"/>
      <c r="V19" s="98"/>
      <c r="W19" s="98"/>
      <c r="X19" s="98"/>
      <c r="Y19" s="98"/>
      <c r="Z19" s="98"/>
      <c r="AA19" s="98"/>
      <c r="AB19" s="98"/>
      <c r="AC19" s="98"/>
      <c r="AD19" s="98"/>
      <c r="AE19" s="98"/>
    </row>
    <row r="20" spans="1:31" ht="16.5" customHeight="1" x14ac:dyDescent="0.4">
      <c r="A20" s="49"/>
      <c r="B20" s="41"/>
      <c r="C20" s="41"/>
      <c r="D20" s="41"/>
      <c r="E20" s="41"/>
      <c r="F20" s="41"/>
      <c r="G20" s="50"/>
      <c r="H20" s="50"/>
      <c r="I20" s="50"/>
      <c r="J20" s="98"/>
      <c r="K20" s="98"/>
      <c r="L20" s="98"/>
      <c r="M20" s="98"/>
      <c r="N20" s="98"/>
      <c r="O20" s="98"/>
      <c r="P20" s="98"/>
      <c r="Q20" s="98"/>
      <c r="R20" s="98">
        <f>'Construction Mat'!C21</f>
        <v>49.07100883500631</v>
      </c>
      <c r="S20" s="98">
        <f>IF(R20="","GW30V",R20)</f>
        <v>49.07100883500631</v>
      </c>
      <c r="T20" s="98"/>
      <c r="U20" s="98"/>
      <c r="V20" s="98"/>
      <c r="W20" s="98"/>
      <c r="X20" s="98"/>
      <c r="Y20" s="98"/>
      <c r="Z20" s="98"/>
      <c r="AA20" s="98"/>
      <c r="AB20" s="98"/>
      <c r="AC20" s="98"/>
      <c r="AD20" s="98"/>
      <c r="AE20" s="98"/>
    </row>
    <row r="21" spans="1:31" ht="39" customHeight="1" thickBot="1" x14ac:dyDescent="0.45">
      <c r="A21" s="63" t="s">
        <v>59</v>
      </c>
      <c r="B21" s="52" t="s">
        <v>25</v>
      </c>
      <c r="C21" s="52" t="s">
        <v>122</v>
      </c>
      <c r="D21" s="52" t="s">
        <v>61</v>
      </c>
      <c r="E21" s="52" t="s">
        <v>123</v>
      </c>
      <c r="F21" s="53"/>
      <c r="G21" s="54"/>
      <c r="H21" s="54"/>
      <c r="I21" s="55"/>
      <c r="J21" s="98"/>
      <c r="K21" s="98"/>
      <c r="L21" s="98"/>
      <c r="M21" s="98"/>
      <c r="N21" s="98"/>
      <c r="O21" s="98"/>
      <c r="P21" s="98"/>
      <c r="Q21" s="98"/>
      <c r="R21" s="98"/>
      <c r="S21" s="98"/>
      <c r="T21" s="98"/>
      <c r="U21" s="98"/>
      <c r="V21" s="98"/>
      <c r="W21" s="98"/>
      <c r="X21" s="98"/>
      <c r="Y21" s="98"/>
      <c r="Z21" s="98"/>
      <c r="AA21" s="98"/>
      <c r="AB21" s="98"/>
      <c r="AC21" s="98"/>
      <c r="AD21" s="98"/>
      <c r="AE21" s="98"/>
    </row>
    <row r="22" spans="1:31" x14ac:dyDescent="0.4">
      <c r="A22" s="64" t="s">
        <v>63</v>
      </c>
      <c r="B22" s="164">
        <f>'Construction Mat'!C20</f>
        <v>84</v>
      </c>
      <c r="C22" s="137">
        <v>1762.0306</v>
      </c>
      <c r="D22" s="137">
        <v>32</v>
      </c>
      <c r="E22" s="141"/>
      <c r="F22" s="165"/>
      <c r="G22" s="140"/>
      <c r="H22" s="140"/>
      <c r="I22" s="144"/>
      <c r="J22" s="98"/>
      <c r="K22" s="98"/>
      <c r="L22" s="98"/>
      <c r="M22" s="98"/>
      <c r="N22" s="98"/>
      <c r="O22" s="98"/>
      <c r="P22" s="98"/>
      <c r="Q22" s="98"/>
      <c r="R22" s="98"/>
      <c r="S22" s="98"/>
      <c r="T22" s="98"/>
      <c r="U22" s="98"/>
      <c r="V22" s="98"/>
      <c r="W22" s="98"/>
      <c r="X22" s="98"/>
      <c r="Y22" s="98"/>
      <c r="Z22" s="98"/>
      <c r="AA22" s="98"/>
      <c r="AB22" s="98"/>
      <c r="AC22" s="98"/>
      <c r="AD22" s="98"/>
      <c r="AE22" s="98"/>
    </row>
    <row r="23" spans="1:31" x14ac:dyDescent="0.4">
      <c r="A23" s="43"/>
      <c r="B23" s="166"/>
      <c r="C23" s="167"/>
      <c r="D23" s="167"/>
      <c r="E23" s="168">
        <f ca="1">C22*C15*9.80665/1000</f>
        <v>6.061689778128291</v>
      </c>
      <c r="F23" s="169"/>
      <c r="G23" s="159"/>
      <c r="H23" s="159"/>
      <c r="I23" s="170"/>
      <c r="J23" s="98"/>
      <c r="K23" s="98"/>
      <c r="L23" s="98"/>
      <c r="M23" s="98"/>
      <c r="N23" s="98"/>
      <c r="O23" s="98"/>
      <c r="P23" s="98"/>
      <c r="Q23" s="98"/>
      <c r="R23" s="98"/>
      <c r="S23" s="98"/>
      <c r="T23" s="98"/>
      <c r="U23" s="98"/>
      <c r="V23" s="98"/>
      <c r="W23" s="98"/>
      <c r="X23" s="98"/>
      <c r="Y23" s="98"/>
      <c r="Z23" s="98"/>
      <c r="AA23" s="98"/>
      <c r="AB23" s="98"/>
      <c r="AC23" s="98"/>
      <c r="AD23" s="98"/>
      <c r="AE23" s="98"/>
    </row>
    <row r="24" spans="1:31" ht="16.5" customHeight="1" x14ac:dyDescent="0.4">
      <c r="A24" s="49"/>
      <c r="B24" s="171"/>
      <c r="C24" s="171"/>
      <c r="D24" s="171"/>
      <c r="E24" s="172"/>
      <c r="F24" s="173" t="s">
        <v>10</v>
      </c>
      <c r="G24" s="173"/>
      <c r="H24" s="173"/>
      <c r="I24" s="173"/>
      <c r="J24" s="98"/>
      <c r="K24" s="98"/>
      <c r="L24" s="98"/>
      <c r="M24" s="98"/>
      <c r="N24" s="98"/>
      <c r="O24" s="98"/>
      <c r="P24" s="98"/>
      <c r="Q24" s="98"/>
      <c r="R24" s="98"/>
      <c r="S24" s="98"/>
      <c r="T24" s="98"/>
      <c r="U24" s="98"/>
      <c r="V24" s="98"/>
      <c r="W24" s="98"/>
      <c r="X24" s="98"/>
      <c r="Y24" s="98"/>
      <c r="Z24" s="98"/>
      <c r="AA24" s="98"/>
      <c r="AB24" s="98"/>
      <c r="AC24" s="98"/>
      <c r="AD24" s="98"/>
      <c r="AE24" s="98"/>
    </row>
    <row r="25" spans="1:31" ht="37.200000000000003" thickBot="1" x14ac:dyDescent="0.45">
      <c r="A25" s="63" t="s">
        <v>64</v>
      </c>
      <c r="B25" s="174" t="s">
        <v>124</v>
      </c>
      <c r="C25" s="174" t="s">
        <v>122</v>
      </c>
      <c r="D25" s="174" t="s">
        <v>125</v>
      </c>
      <c r="E25" s="174" t="s">
        <v>126</v>
      </c>
      <c r="F25" s="175"/>
      <c r="G25" s="174" t="s">
        <v>68</v>
      </c>
      <c r="H25" s="174" t="s">
        <v>69</v>
      </c>
      <c r="I25" s="176"/>
      <c r="J25" s="98"/>
      <c r="K25" s="98"/>
      <c r="L25" s="98"/>
      <c r="M25" s="98"/>
      <c r="N25" s="98"/>
      <c r="O25" s="98"/>
      <c r="P25" s="98"/>
      <c r="Q25" s="98"/>
      <c r="R25" s="98"/>
      <c r="S25" s="98"/>
      <c r="T25" s="98"/>
      <c r="U25" s="98"/>
      <c r="V25" s="98"/>
      <c r="W25" s="98"/>
      <c r="X25" s="98"/>
      <c r="Y25" s="98"/>
      <c r="Z25" s="98"/>
      <c r="AA25" s="98"/>
      <c r="AB25" s="98"/>
      <c r="AC25" s="98"/>
      <c r="AD25" s="98"/>
      <c r="AE25" s="98"/>
    </row>
    <row r="26" spans="1:31" ht="16.5" customHeight="1" x14ac:dyDescent="0.4">
      <c r="A26" s="25" t="s">
        <v>70</v>
      </c>
      <c r="B26" s="138">
        <f>+SUM(B6:B14)</f>
        <v>0.3508</v>
      </c>
      <c r="C26" s="139">
        <v>0</v>
      </c>
      <c r="D26" s="140"/>
      <c r="E26" s="140"/>
      <c r="F26" s="173"/>
      <c r="G26" s="173"/>
      <c r="H26" s="173"/>
      <c r="I26" s="177"/>
      <c r="J26" s="98"/>
      <c r="K26" s="98"/>
      <c r="L26" s="98"/>
      <c r="M26" s="98"/>
      <c r="N26" s="98"/>
      <c r="O26" s="98"/>
      <c r="P26" s="98"/>
      <c r="Q26" s="98"/>
      <c r="R26" s="98"/>
      <c r="S26" s="98"/>
      <c r="T26" s="98"/>
      <c r="U26" s="98"/>
      <c r="V26" s="98"/>
      <c r="W26" s="98"/>
      <c r="X26" s="98"/>
      <c r="Y26" s="98"/>
      <c r="Z26" s="98"/>
      <c r="AA26" s="98"/>
      <c r="AB26" s="98"/>
      <c r="AC26" s="98"/>
      <c r="AD26" s="98"/>
      <c r="AE26" s="98"/>
    </row>
    <row r="27" spans="1:31" ht="16.5" customHeight="1" x14ac:dyDescent="0.4">
      <c r="A27" s="33" t="s">
        <v>71</v>
      </c>
      <c r="B27" s="141"/>
      <c r="C27" s="141"/>
      <c r="D27" s="135" t="str">
        <f>IF('Construction Mat'!C15="Undrained Shear Strength",'Construction Mat'!C16,IF('Construction Mat'!C15="CBR",'Construction Mat'!C16*29.85,""))</f>
        <v/>
      </c>
      <c r="E27" s="151"/>
      <c r="F27" s="152"/>
      <c r="G27" s="151" t="e">
        <f>$D$27/2985</f>
        <v>#VALUE!</v>
      </c>
      <c r="H27" s="153" t="e">
        <f>19.917*LN(G27 *100) - 3.9928</f>
        <v>#VALUE!</v>
      </c>
      <c r="I27" s="178"/>
      <c r="J27" s="98"/>
      <c r="K27" s="98"/>
      <c r="L27" s="98"/>
      <c r="M27" s="98"/>
      <c r="N27" s="98"/>
      <c r="O27" s="98"/>
      <c r="P27" s="98"/>
      <c r="Q27" s="98"/>
      <c r="R27" s="98"/>
      <c r="S27" s="98"/>
      <c r="T27" s="98"/>
      <c r="U27" s="98"/>
      <c r="V27" s="98"/>
      <c r="W27" s="98"/>
      <c r="X27" s="98"/>
      <c r="Y27" s="98"/>
      <c r="Z27" s="98"/>
      <c r="AA27" s="98"/>
      <c r="AB27" s="98"/>
      <c r="AC27" s="98"/>
      <c r="AD27" s="98"/>
      <c r="AE27" s="98"/>
    </row>
    <row r="28" spans="1:31" ht="16.5" customHeight="1" x14ac:dyDescent="0.4">
      <c r="A28" s="43"/>
      <c r="B28" s="179"/>
      <c r="C28" s="180"/>
      <c r="D28" s="159"/>
      <c r="E28" s="181">
        <f>-B26*C26*9.80665</f>
        <v>0</v>
      </c>
      <c r="F28" s="182"/>
      <c r="G28" s="182"/>
      <c r="H28" s="182"/>
      <c r="I28" s="183"/>
      <c r="J28" s="98"/>
      <c r="K28" s="98"/>
      <c r="L28" s="98"/>
      <c r="M28" s="98"/>
      <c r="N28" s="98"/>
      <c r="O28" s="98"/>
      <c r="P28" s="98"/>
      <c r="Q28" s="98"/>
      <c r="R28" s="98"/>
      <c r="S28" s="98"/>
      <c r="T28" s="98"/>
      <c r="U28" s="98"/>
      <c r="V28" s="98"/>
      <c r="W28" s="98"/>
      <c r="X28" s="98"/>
      <c r="Y28" s="98"/>
      <c r="Z28" s="98"/>
      <c r="AA28" s="98"/>
      <c r="AB28" s="98"/>
      <c r="AC28" s="98"/>
      <c r="AD28" s="98"/>
      <c r="AE28" s="98"/>
    </row>
    <row r="29" spans="1:31" ht="16.5" customHeight="1" x14ac:dyDescent="0.4">
      <c r="A29" s="49"/>
      <c r="B29" s="184"/>
      <c r="C29" s="185"/>
      <c r="D29" s="186"/>
      <c r="E29" s="186"/>
      <c r="F29" s="173"/>
      <c r="G29" s="173"/>
      <c r="H29" s="173"/>
      <c r="I29" s="173"/>
      <c r="J29" s="98"/>
      <c r="K29" s="98"/>
      <c r="L29" s="98"/>
      <c r="M29" s="98"/>
      <c r="N29" s="98"/>
      <c r="O29" s="98"/>
      <c r="P29" s="98"/>
      <c r="Q29" s="98"/>
      <c r="R29" s="98"/>
      <c r="S29" s="98"/>
      <c r="T29" s="98"/>
      <c r="U29" s="98"/>
      <c r="V29" s="98"/>
      <c r="W29" s="98"/>
      <c r="X29" s="98"/>
      <c r="Y29" s="98"/>
      <c r="Z29" s="98"/>
      <c r="AA29" s="98"/>
      <c r="AB29" s="98"/>
      <c r="AC29" s="98"/>
      <c r="AD29" s="98"/>
      <c r="AE29" s="98"/>
    </row>
    <row r="30" spans="1:31" s="90" customFormat="1" ht="16.5" customHeight="1" thickBot="1" x14ac:dyDescent="0.45">
      <c r="A30" s="86" t="s">
        <v>72</v>
      </c>
      <c r="B30" s="187"/>
      <c r="C30" s="188"/>
      <c r="D30" s="188"/>
      <c r="E30" s="188"/>
      <c r="F30" s="188"/>
      <c r="G30" s="188"/>
      <c r="H30" s="188"/>
      <c r="I30" s="189"/>
      <c r="J30" s="195"/>
      <c r="K30" s="195"/>
      <c r="L30" s="195"/>
      <c r="M30" s="195"/>
      <c r="N30" s="195"/>
      <c r="O30" s="195"/>
      <c r="P30" s="195"/>
      <c r="Q30" s="195"/>
      <c r="R30" s="195"/>
      <c r="S30" s="195"/>
      <c r="T30" s="195"/>
      <c r="U30" s="195"/>
      <c r="V30" s="195"/>
      <c r="W30" s="195"/>
      <c r="X30" s="195"/>
      <c r="Y30" s="195"/>
      <c r="Z30" s="195"/>
      <c r="AA30" s="195"/>
      <c r="AB30" s="195"/>
      <c r="AC30" s="195"/>
      <c r="AD30" s="195"/>
      <c r="AE30" s="195"/>
    </row>
    <row r="31" spans="1:31" ht="16.5" customHeight="1" x14ac:dyDescent="0.4">
      <c r="A31" s="33" t="s">
        <v>127</v>
      </c>
      <c r="B31" s="143">
        <f>'Construction Mat'!C14</f>
        <v>110</v>
      </c>
      <c r="C31" s="294" t="str">
        <f>CONCATENATE('Construction Mat'!C9," ",'Construction Mat'!C11," Access")</f>
        <v>H-15 Light Fire  Truck or Medium Construction Equipment Access</v>
      </c>
      <c r="D31" s="294"/>
      <c r="E31" s="294"/>
      <c r="F31" s="294"/>
      <c r="G31" s="294"/>
      <c r="H31" s="294"/>
      <c r="I31" s="144" t="s">
        <v>10</v>
      </c>
      <c r="J31" s="98"/>
      <c r="K31" s="98"/>
      <c r="L31" s="98"/>
      <c r="M31" s="98"/>
      <c r="N31" s="98"/>
      <c r="O31" s="98"/>
      <c r="P31" s="98"/>
      <c r="Q31" s="98"/>
      <c r="R31" s="98"/>
      <c r="S31" s="98"/>
      <c r="T31" s="98"/>
      <c r="U31" s="98"/>
      <c r="V31" s="98"/>
      <c r="W31" s="98"/>
      <c r="X31" s="98"/>
      <c r="Y31" s="98"/>
      <c r="Z31" s="98"/>
      <c r="AA31" s="98"/>
      <c r="AB31" s="98"/>
      <c r="AC31" s="98"/>
      <c r="AD31" s="98"/>
      <c r="AE31" s="98"/>
    </row>
    <row r="32" spans="1:31" ht="16.5" customHeight="1" x14ac:dyDescent="0.4">
      <c r="A32" s="33" t="s">
        <v>128</v>
      </c>
      <c r="B32" s="139">
        <f>'Construction Mat'!C12</f>
        <v>586</v>
      </c>
      <c r="C32" s="140"/>
      <c r="D32" s="140"/>
      <c r="E32" s="140"/>
      <c r="F32" s="140"/>
      <c r="G32" s="140"/>
      <c r="H32" s="140"/>
      <c r="I32" s="144"/>
    </row>
    <row r="33" spans="1:13" ht="16.5" customHeight="1" x14ac:dyDescent="0.4">
      <c r="A33" s="33" t="s">
        <v>75</v>
      </c>
      <c r="B33" s="145">
        <f>IF(I33&gt;0,I33,ATAN(D33/F33)*180/PI())</f>
        <v>45</v>
      </c>
      <c r="C33" s="146" t="s">
        <v>76</v>
      </c>
      <c r="D33" s="147">
        <v>0</v>
      </c>
      <c r="E33" s="146" t="s">
        <v>77</v>
      </c>
      <c r="F33" s="147">
        <v>0</v>
      </c>
      <c r="G33" s="148" t="s">
        <v>78</v>
      </c>
      <c r="H33" s="146" t="s">
        <v>79</v>
      </c>
      <c r="I33" s="149">
        <v>45</v>
      </c>
    </row>
    <row r="34" spans="1:13" ht="16.5" customHeight="1" x14ac:dyDescent="0.4">
      <c r="A34" s="33" t="s">
        <v>80</v>
      </c>
      <c r="B34" s="150">
        <v>0.95</v>
      </c>
      <c r="C34" s="140"/>
      <c r="D34" s="140"/>
      <c r="E34" s="140"/>
      <c r="F34" s="140"/>
      <c r="G34" s="140"/>
      <c r="H34" s="140"/>
      <c r="I34" s="144"/>
    </row>
    <row r="35" spans="1:13" ht="16.5" customHeight="1" x14ac:dyDescent="0.4">
      <c r="A35" s="33" t="s">
        <v>81</v>
      </c>
      <c r="B35" s="142" t="s">
        <v>131</v>
      </c>
      <c r="C35" s="151"/>
      <c r="D35" s="152"/>
      <c r="E35" s="151"/>
      <c r="F35" s="152"/>
      <c r="G35" s="153"/>
      <c r="H35" s="154"/>
      <c r="I35" s="155"/>
    </row>
    <row r="36" spans="1:13" ht="16.5" customHeight="1" x14ac:dyDescent="0.4">
      <c r="A36" s="33" t="s">
        <v>82</v>
      </c>
      <c r="B36" s="156">
        <v>5.7</v>
      </c>
      <c r="C36" s="157" t="str">
        <f>IF(B36&lt;2.8,"2.80 is generally the minimum.","")</f>
        <v/>
      </c>
      <c r="D36" s="135">
        <v>2.8</v>
      </c>
      <c r="E36" s="157"/>
      <c r="F36" s="295"/>
      <c r="G36" s="295"/>
      <c r="H36" s="295"/>
      <c r="I36" s="296"/>
    </row>
    <row r="37" spans="1:13" ht="16.5" customHeight="1" x14ac:dyDescent="0.4">
      <c r="A37" s="43" t="s">
        <v>83</v>
      </c>
      <c r="B37" s="158">
        <v>1.3</v>
      </c>
      <c r="C37" s="159"/>
      <c r="D37" s="160"/>
      <c r="E37" s="161"/>
      <c r="F37" s="162"/>
      <c r="G37" s="162"/>
      <c r="H37" s="162"/>
      <c r="I37" s="163"/>
    </row>
    <row r="38" spans="1:13" ht="16.5" customHeight="1" x14ac:dyDescent="0.4">
      <c r="A38" s="291"/>
      <c r="B38" s="291"/>
      <c r="C38" s="291"/>
      <c r="D38" s="291"/>
      <c r="E38" s="291"/>
      <c r="F38" s="291"/>
      <c r="G38" s="291"/>
      <c r="H38" s="291"/>
      <c r="I38" s="291"/>
      <c r="K38" s="92"/>
      <c r="L38" s="92"/>
      <c r="M38" s="92"/>
    </row>
    <row r="39" spans="1:13" ht="16.5" customHeight="1" thickBot="1" x14ac:dyDescent="0.45">
      <c r="A39" s="129" t="s">
        <v>84</v>
      </c>
      <c r="B39" s="94"/>
      <c r="C39" s="94"/>
      <c r="D39" s="94"/>
      <c r="E39" s="94"/>
      <c r="F39" s="94"/>
      <c r="G39" s="94"/>
      <c r="H39" s="94"/>
      <c r="I39" s="95"/>
      <c r="K39" s="92"/>
      <c r="L39" s="92"/>
      <c r="M39" s="92"/>
    </row>
    <row r="40" spans="1:13" ht="16.5" customHeight="1" x14ac:dyDescent="0.4">
      <c r="A40" s="297" t="s">
        <v>129</v>
      </c>
      <c r="B40" s="298"/>
      <c r="C40" s="96"/>
      <c r="D40" s="97">
        <f ca="1">E15+E23+E28</f>
        <v>240.91046056752103</v>
      </c>
      <c r="E40" s="72"/>
      <c r="F40" s="72"/>
      <c r="G40" s="65"/>
      <c r="H40" s="72"/>
      <c r="I40" s="73"/>
      <c r="K40" s="98"/>
      <c r="L40" s="99"/>
      <c r="M40" s="92"/>
    </row>
    <row r="41" spans="1:13" ht="16.5" customHeight="1" x14ac:dyDescent="0.4">
      <c r="A41" s="297" t="s">
        <v>130</v>
      </c>
      <c r="B41" s="298"/>
      <c r="C41" s="28"/>
      <c r="D41" s="100" t="e">
        <f>D27*B36</f>
        <v>#VALUE!</v>
      </c>
      <c r="E41" s="72"/>
      <c r="F41" s="72"/>
      <c r="G41" s="65"/>
      <c r="H41" s="72"/>
      <c r="I41" s="73"/>
      <c r="K41" s="98"/>
      <c r="M41" s="92"/>
    </row>
    <row r="42" spans="1:13" ht="16.5" customHeight="1" x14ac:dyDescent="0.4">
      <c r="A42" s="101" t="s">
        <v>87</v>
      </c>
      <c r="B42" s="102"/>
      <c r="C42" s="45"/>
      <c r="D42" s="103" t="e">
        <f ca="1">D41/D40</f>
        <v>#VALUE!</v>
      </c>
      <c r="E42" s="299" t="e">
        <f ca="1">IF(D42&lt;1,"Change Configuration",(IF(D42&lt;B37,"Design Potentially Good with Factor of Safety","Acceptable Design")))</f>
        <v>#VALUE!</v>
      </c>
      <c r="F42" s="299"/>
      <c r="G42" s="91"/>
      <c r="H42" s="104"/>
      <c r="I42" s="105"/>
      <c r="K42" s="106"/>
      <c r="M42" s="92"/>
    </row>
    <row r="43" spans="1:13" ht="16.5" hidden="1" customHeight="1" x14ac:dyDescent="0.4">
      <c r="A43" s="107" t="s">
        <v>88</v>
      </c>
      <c r="B43" s="91"/>
      <c r="C43" s="108" t="e">
        <f>$D$5/((1/(1-$D$36*$D$27/$B$32)^(2/3))-1)^(1/2)</f>
        <v>#VALUE!</v>
      </c>
      <c r="D43" s="109" t="e">
        <f ca="1">C15/C43*100</f>
        <v>#VALUE!</v>
      </c>
      <c r="E43" s="91"/>
      <c r="F43" s="91"/>
      <c r="G43" s="91"/>
      <c r="H43" s="91"/>
      <c r="I43" s="110"/>
      <c r="K43" s="106"/>
      <c r="M43" s="92"/>
    </row>
    <row r="44" spans="1:13" ht="16.5" customHeight="1" x14ac:dyDescent="0.4">
      <c r="A44" s="111"/>
      <c r="B44" s="112"/>
      <c r="C44" s="85"/>
      <c r="D44" s="85"/>
      <c r="E44" s="85"/>
      <c r="F44" s="85"/>
      <c r="G44" s="85"/>
      <c r="H44" s="85"/>
      <c r="I44" s="85"/>
      <c r="K44" s="106"/>
      <c r="M44" s="92"/>
    </row>
    <row r="45" spans="1:13" ht="16.5" customHeight="1" x14ac:dyDescent="0.4">
      <c r="A45" s="291"/>
      <c r="B45" s="291"/>
      <c r="C45" s="291"/>
      <c r="D45" s="291"/>
      <c r="E45" s="291"/>
      <c r="F45" s="291"/>
      <c r="G45" s="291"/>
      <c r="H45" s="291"/>
      <c r="I45" s="291"/>
    </row>
    <row r="46" spans="1:13" ht="13.2" customHeight="1" x14ac:dyDescent="0.5">
      <c r="A46" s="113" t="s">
        <v>89</v>
      </c>
    </row>
    <row r="47" spans="1:13" ht="12.75" customHeight="1" x14ac:dyDescent="0.5">
      <c r="A47" s="115"/>
    </row>
    <row r="48" spans="1:13" ht="60" customHeight="1" x14ac:dyDescent="0.4">
      <c r="A48" s="292" t="s">
        <v>90</v>
      </c>
      <c r="B48" s="292"/>
      <c r="C48" s="292"/>
      <c r="D48" s="292"/>
      <c r="E48" s="292"/>
      <c r="F48" s="292"/>
      <c r="G48" s="292"/>
      <c r="H48" s="292"/>
      <c r="I48" s="292"/>
    </row>
    <row r="49" spans="1:9" ht="48.75" customHeight="1" x14ac:dyDescent="0.4">
      <c r="A49" s="292" t="s">
        <v>10</v>
      </c>
      <c r="B49" s="292"/>
      <c r="C49" s="292"/>
      <c r="D49" s="292"/>
      <c r="E49" s="292"/>
      <c r="F49" s="292"/>
      <c r="G49" s="292"/>
      <c r="H49" s="292"/>
      <c r="I49" s="292"/>
    </row>
    <row r="50" spans="1:9" ht="15" x14ac:dyDescent="0.5">
      <c r="A50" s="116"/>
    </row>
    <row r="51" spans="1:9" ht="15" x14ac:dyDescent="0.5">
      <c r="A51" s="116"/>
    </row>
  </sheetData>
  <sheetProtection sheet="1" objects="1" scenarios="1"/>
  <mergeCells count="18">
    <mergeCell ref="E42:F42"/>
    <mergeCell ref="A45:I45"/>
    <mergeCell ref="A48:I48"/>
    <mergeCell ref="A49:I49"/>
    <mergeCell ref="B16:F16"/>
    <mergeCell ref="C31:H31"/>
    <mergeCell ref="F36:I36"/>
    <mergeCell ref="A38:I38"/>
    <mergeCell ref="A40:B40"/>
    <mergeCell ref="A41:B41"/>
    <mergeCell ref="B1:I1"/>
    <mergeCell ref="B2:G2"/>
    <mergeCell ref="A3:A4"/>
    <mergeCell ref="B3:B4"/>
    <mergeCell ref="C3:C4"/>
    <mergeCell ref="D3:D4"/>
    <mergeCell ref="E3:E4"/>
    <mergeCell ref="F3:I3"/>
  </mergeCells>
  <conditionalFormatting sqref="B8">
    <cfRule type="expression" dxfId="0" priority="1">
      <formula>$D$42&lt;$B$37</formula>
    </cfRule>
  </conditionalFormatting>
  <printOptions horizontalCentered="1"/>
  <pageMargins left="0.75" right="0.75" top="1" bottom="1" header="0.5" footer="0.5"/>
  <pageSetup scale="71" orientation="portrait" horizontalDpi="4294967293" verticalDpi="1200" r:id="rId1"/>
  <headerFooter alignWithMargins="0">
    <oddFooter>&amp;L&amp;D&amp;RPage &amp;P of &amp;N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Data!$U$3:$U$4</xm:f>
          </x14:formula1>
          <xm:sqref>B35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N28" sqref="N28"/>
    </sheetView>
  </sheetViews>
  <sheetFormatPr defaultRowHeight="14.4" x14ac:dyDescent="0.55000000000000004"/>
  <cols>
    <col min="10" max="10" width="12.3125" customWidth="1"/>
    <col min="11" max="11" width="10.1015625" customWidth="1"/>
    <col min="12" max="12" width="12.1015625" customWidth="1"/>
  </cols>
  <sheetData>
    <row r="1" spans="1:21" ht="20.100000000000001" x14ac:dyDescent="0.55000000000000004">
      <c r="A1" s="281" t="s">
        <v>91</v>
      </c>
      <c r="B1" s="281"/>
      <c r="C1" s="281"/>
      <c r="D1" s="281"/>
      <c r="E1" s="281"/>
      <c r="F1" s="281"/>
      <c r="G1" s="281"/>
      <c r="H1" s="281"/>
      <c r="I1" s="281"/>
      <c r="J1" s="281"/>
      <c r="K1" s="281"/>
    </row>
    <row r="2" spans="1:21" x14ac:dyDescent="0.55000000000000004">
      <c r="A2" s="301" t="s">
        <v>92</v>
      </c>
      <c r="B2" s="301"/>
      <c r="C2" s="301"/>
      <c r="D2" s="119"/>
      <c r="E2" s="301" t="s">
        <v>93</v>
      </c>
      <c r="F2" s="301"/>
      <c r="G2" s="301"/>
      <c r="H2" s="119"/>
      <c r="I2" s="301" t="s">
        <v>94</v>
      </c>
      <c r="J2" s="301"/>
      <c r="K2" s="301"/>
      <c r="M2" t="s">
        <v>110</v>
      </c>
      <c r="N2" t="s">
        <v>0</v>
      </c>
      <c r="O2" t="s">
        <v>5</v>
      </c>
      <c r="P2" t="s">
        <v>111</v>
      </c>
      <c r="Q2" t="s">
        <v>6</v>
      </c>
      <c r="R2" t="s">
        <v>26</v>
      </c>
      <c r="S2" t="s">
        <v>145</v>
      </c>
      <c r="U2" t="s">
        <v>53</v>
      </c>
    </row>
    <row r="3" spans="1:21" x14ac:dyDescent="0.55000000000000004">
      <c r="A3" s="120"/>
      <c r="B3" s="120"/>
      <c r="C3" s="120"/>
      <c r="D3" s="121"/>
      <c r="E3" s="120"/>
      <c r="F3" s="120"/>
      <c r="G3" s="120"/>
      <c r="H3" s="122"/>
      <c r="I3" s="122"/>
      <c r="J3" s="122"/>
      <c r="K3" s="122"/>
      <c r="M3" t="s">
        <v>14</v>
      </c>
      <c r="N3" t="s">
        <v>1</v>
      </c>
      <c r="O3" t="s">
        <v>16</v>
      </c>
      <c r="P3" t="s">
        <v>23</v>
      </c>
      <c r="Q3" t="s">
        <v>7</v>
      </c>
      <c r="R3" t="s">
        <v>140</v>
      </c>
      <c r="S3" t="s">
        <v>163</v>
      </c>
      <c r="U3" t="s">
        <v>165</v>
      </c>
    </row>
    <row r="4" spans="1:21" x14ac:dyDescent="0.55000000000000004">
      <c r="A4" s="123" t="s">
        <v>95</v>
      </c>
      <c r="B4" s="123" t="s">
        <v>96</v>
      </c>
      <c r="C4" s="123" t="s">
        <v>97</v>
      </c>
      <c r="D4" s="124"/>
      <c r="E4" s="123" t="s">
        <v>97</v>
      </c>
      <c r="F4" s="123" t="s">
        <v>96</v>
      </c>
      <c r="G4" s="123" t="s">
        <v>95</v>
      </c>
      <c r="H4" s="125"/>
      <c r="I4" s="123" t="s">
        <v>98</v>
      </c>
      <c r="J4" s="123" t="s">
        <v>96</v>
      </c>
      <c r="K4" s="123" t="s">
        <v>99</v>
      </c>
      <c r="M4" t="s">
        <v>15</v>
      </c>
      <c r="N4" t="s">
        <v>2</v>
      </c>
      <c r="P4" t="s">
        <v>24</v>
      </c>
      <c r="Q4" t="s">
        <v>8</v>
      </c>
      <c r="R4" s="211" t="s">
        <v>141</v>
      </c>
      <c r="S4" t="s">
        <v>164</v>
      </c>
      <c r="U4" t="s">
        <v>131</v>
      </c>
    </row>
    <row r="5" spans="1:21" x14ac:dyDescent="0.55000000000000004">
      <c r="A5" s="126">
        <v>6</v>
      </c>
      <c r="B5" s="127">
        <v>2.5399999999999999E-2</v>
      </c>
      <c r="C5" s="128">
        <f>A5*B5</f>
        <v>0.15239999999999998</v>
      </c>
      <c r="D5" s="127"/>
      <c r="E5" s="126">
        <v>0.1</v>
      </c>
      <c r="F5" s="127">
        <f>1/B5</f>
        <v>39.370078740157481</v>
      </c>
      <c r="G5" s="128">
        <f>E5*F5</f>
        <v>3.9370078740157481</v>
      </c>
      <c r="H5" s="118"/>
      <c r="I5" s="126">
        <v>11600</v>
      </c>
      <c r="J5" s="127">
        <v>9.8066500000000001E-3</v>
      </c>
      <c r="K5" s="128">
        <f>I5*J5</f>
        <v>113.75714000000001</v>
      </c>
      <c r="N5" t="s">
        <v>3</v>
      </c>
      <c r="R5" s="211" t="s">
        <v>142</v>
      </c>
    </row>
    <row r="6" spans="1:21" x14ac:dyDescent="0.55000000000000004">
      <c r="A6" s="127"/>
      <c r="B6" s="127"/>
      <c r="C6" s="127"/>
      <c r="D6" s="127"/>
      <c r="E6" s="127"/>
      <c r="F6" s="127"/>
      <c r="G6" s="127"/>
      <c r="H6" s="118"/>
      <c r="I6" s="118"/>
      <c r="J6" s="118"/>
      <c r="K6" s="118"/>
      <c r="N6" t="s">
        <v>4</v>
      </c>
      <c r="R6" t="s">
        <v>143</v>
      </c>
    </row>
    <row r="7" spans="1:21" x14ac:dyDescent="0.55000000000000004">
      <c r="A7" s="123" t="s">
        <v>100</v>
      </c>
      <c r="B7" s="123" t="s">
        <v>96</v>
      </c>
      <c r="C7" s="123" t="s">
        <v>99</v>
      </c>
      <c r="D7" s="124"/>
      <c r="E7" s="123" t="s">
        <v>99</v>
      </c>
      <c r="F7" s="123" t="s">
        <v>96</v>
      </c>
      <c r="G7" s="123" t="s">
        <v>100</v>
      </c>
      <c r="H7" s="125"/>
      <c r="I7" s="123" t="s">
        <v>101</v>
      </c>
      <c r="J7" s="123" t="s">
        <v>96</v>
      </c>
      <c r="K7" s="123" t="s">
        <v>102</v>
      </c>
    </row>
    <row r="8" spans="1:21" x14ac:dyDescent="0.55000000000000004">
      <c r="A8" s="126">
        <v>30</v>
      </c>
      <c r="B8" s="127">
        <v>6.8947572929999996</v>
      </c>
      <c r="C8" s="128">
        <f>A8*B8</f>
        <v>206.84271878999999</v>
      </c>
      <c r="D8" s="127"/>
      <c r="E8" s="126">
        <v>43</v>
      </c>
      <c r="F8" s="127">
        <f>1/B8</f>
        <v>0.14503773773375087</v>
      </c>
      <c r="G8" s="128">
        <f>E8*F8</f>
        <v>6.2366227225512869</v>
      </c>
      <c r="H8" s="118"/>
      <c r="I8" s="126">
        <v>6000</v>
      </c>
      <c r="J8" s="127">
        <v>9.8066499999999994</v>
      </c>
      <c r="K8" s="128">
        <f>I8*J8</f>
        <v>58839.899999999994</v>
      </c>
    </row>
    <row r="9" spans="1:21" x14ac:dyDescent="0.55000000000000004">
      <c r="A9" s="127"/>
      <c r="B9" s="127"/>
      <c r="C9" s="127"/>
      <c r="D9" s="127"/>
      <c r="E9" s="127"/>
      <c r="F9" s="127"/>
      <c r="G9" s="127"/>
      <c r="H9" s="118"/>
      <c r="I9" s="118"/>
      <c r="J9" s="118"/>
      <c r="K9" s="118"/>
    </row>
    <row r="10" spans="1:21" x14ac:dyDescent="0.55000000000000004">
      <c r="A10" s="123" t="s">
        <v>103</v>
      </c>
      <c r="B10" s="123" t="s">
        <v>96</v>
      </c>
      <c r="C10" s="123" t="s">
        <v>104</v>
      </c>
      <c r="D10" s="124"/>
      <c r="E10" s="123" t="s">
        <v>104</v>
      </c>
      <c r="F10" s="123" t="s">
        <v>96</v>
      </c>
      <c r="G10" s="123" t="s">
        <v>103</v>
      </c>
      <c r="H10" s="125"/>
      <c r="I10" s="123" t="s">
        <v>101</v>
      </c>
      <c r="J10" s="123" t="s">
        <v>96</v>
      </c>
      <c r="K10" s="123" t="s">
        <v>104</v>
      </c>
    </row>
    <row r="11" spans="1:21" x14ac:dyDescent="0.55000000000000004">
      <c r="A11" s="126">
        <v>3000</v>
      </c>
      <c r="B11" s="127">
        <v>4.4482216150000002E-3</v>
      </c>
      <c r="C11" s="128">
        <f>A11*B11</f>
        <v>13.344664845</v>
      </c>
      <c r="D11" s="127"/>
      <c r="E11" s="126">
        <v>71</v>
      </c>
      <c r="F11" s="127">
        <f>1/B11</f>
        <v>224.80894311287591</v>
      </c>
      <c r="G11" s="128">
        <f>E11*F11</f>
        <v>15961.434961014189</v>
      </c>
      <c r="H11" s="118"/>
      <c r="I11" s="126">
        <v>910</v>
      </c>
      <c r="J11" s="127">
        <v>9.8066500000000001E-3</v>
      </c>
      <c r="K11" s="128">
        <f>I11*J11</f>
        <v>8.9240515000000009</v>
      </c>
    </row>
    <row r="12" spans="1:21" x14ac:dyDescent="0.55000000000000004">
      <c r="A12" s="127"/>
      <c r="B12" s="127"/>
      <c r="C12" s="127"/>
      <c r="D12" s="127"/>
      <c r="E12" s="127"/>
      <c r="F12" s="127"/>
      <c r="G12" s="127"/>
      <c r="H12" s="118"/>
      <c r="I12" s="118"/>
      <c r="J12" s="118"/>
      <c r="K12" s="118"/>
    </row>
    <row r="13" spans="1:21" x14ac:dyDescent="0.55000000000000004">
      <c r="A13" s="123" t="s">
        <v>105</v>
      </c>
      <c r="B13" s="123" t="s">
        <v>96</v>
      </c>
      <c r="C13" s="123" t="s">
        <v>106</v>
      </c>
      <c r="D13" s="124"/>
      <c r="E13" s="123" t="s">
        <v>106</v>
      </c>
      <c r="F13" s="123" t="s">
        <v>96</v>
      </c>
      <c r="G13" s="123" t="s">
        <v>105</v>
      </c>
      <c r="H13" s="125"/>
      <c r="I13" s="123" t="s">
        <v>101</v>
      </c>
      <c r="J13" s="123" t="s">
        <v>96</v>
      </c>
      <c r="K13" s="123" t="s">
        <v>107</v>
      </c>
    </row>
    <row r="14" spans="1:21" x14ac:dyDescent="0.55000000000000004">
      <c r="A14" s="126">
        <v>110</v>
      </c>
      <c r="B14" s="127">
        <v>16.018460000000001</v>
      </c>
      <c r="C14" s="128">
        <f>A14*B14</f>
        <v>1762.0306</v>
      </c>
      <c r="D14" s="127"/>
      <c r="E14" s="126">
        <v>1850</v>
      </c>
      <c r="F14" s="127">
        <f>1/B14</f>
        <v>6.2427973725314417E-2</v>
      </c>
      <c r="G14" s="128">
        <f>E14*F14</f>
        <v>115.49175139183167</v>
      </c>
      <c r="H14" s="118"/>
      <c r="I14" s="126">
        <v>6400</v>
      </c>
      <c r="J14" s="127">
        <v>2.2048000000000001</v>
      </c>
      <c r="K14" s="128">
        <f>I14*J14</f>
        <v>14110.720000000001</v>
      </c>
    </row>
    <row r="15" spans="1:21" x14ac:dyDescent="0.55000000000000004">
      <c r="A15" s="114"/>
      <c r="B15" s="114"/>
      <c r="C15" s="114"/>
      <c r="D15" s="114"/>
      <c r="E15" s="114"/>
      <c r="F15" s="114"/>
      <c r="G15" s="114"/>
      <c r="H15" s="13"/>
      <c r="I15" s="13"/>
      <c r="J15" s="13"/>
      <c r="K15" s="13"/>
    </row>
    <row r="16" spans="1:21" x14ac:dyDescent="0.55000000000000004">
      <c r="A16" s="123" t="s">
        <v>108</v>
      </c>
      <c r="B16" s="123" t="s">
        <v>96</v>
      </c>
      <c r="C16" s="123" t="s">
        <v>98</v>
      </c>
      <c r="D16" s="124"/>
      <c r="E16" s="123" t="s">
        <v>98</v>
      </c>
      <c r="F16" s="123" t="s">
        <v>96</v>
      </c>
      <c r="G16" s="123" t="s">
        <v>108</v>
      </c>
      <c r="H16" s="13"/>
      <c r="I16" s="13"/>
      <c r="J16" s="13"/>
      <c r="K16" s="13"/>
    </row>
    <row r="17" spans="1:19" x14ac:dyDescent="0.55000000000000004">
      <c r="A17" s="126">
        <v>110</v>
      </c>
      <c r="B17" s="127">
        <v>4.882428</v>
      </c>
      <c r="C17" s="128">
        <f>A17*B17</f>
        <v>537.06708000000003</v>
      </c>
      <c r="D17" s="127"/>
      <c r="E17" s="126">
        <v>5000</v>
      </c>
      <c r="F17" s="127">
        <f>1/B17</f>
        <v>0.20481612836891808</v>
      </c>
      <c r="G17" s="128">
        <f>E17*F17</f>
        <v>1024.0806418445904</v>
      </c>
      <c r="H17" s="13"/>
      <c r="I17" s="13"/>
      <c r="J17" s="13"/>
      <c r="K17" s="13"/>
    </row>
    <row r="18" spans="1:19" x14ac:dyDescent="0.55000000000000004">
      <c r="A18" s="114"/>
      <c r="B18" s="114"/>
      <c r="C18" s="114"/>
      <c r="D18" s="114"/>
      <c r="E18" s="114"/>
      <c r="F18" s="114"/>
      <c r="G18" s="114"/>
      <c r="H18" s="13"/>
      <c r="I18" s="13"/>
      <c r="J18" s="13"/>
      <c r="K18" s="13"/>
      <c r="N18" s="300"/>
      <c r="O18" s="300"/>
      <c r="P18" s="300"/>
      <c r="Q18" s="300"/>
      <c r="R18" s="300"/>
      <c r="S18" s="300"/>
    </row>
    <row r="19" spans="1:19" x14ac:dyDescent="0.55000000000000004">
      <c r="A19" s="123" t="s">
        <v>107</v>
      </c>
      <c r="B19" s="123" t="s">
        <v>96</v>
      </c>
      <c r="C19" s="123" t="s">
        <v>109</v>
      </c>
      <c r="D19" s="114"/>
      <c r="E19" s="123" t="s">
        <v>109</v>
      </c>
      <c r="F19" s="123" t="s">
        <v>96</v>
      </c>
      <c r="G19" s="123" t="s">
        <v>107</v>
      </c>
      <c r="H19" s="13"/>
      <c r="I19" s="13"/>
      <c r="J19" s="13"/>
      <c r="K19" s="13"/>
    </row>
    <row r="20" spans="1:19" x14ac:dyDescent="0.55000000000000004">
      <c r="A20" s="126">
        <v>16000</v>
      </c>
      <c r="B20" s="127">
        <v>0.453592</v>
      </c>
      <c r="C20" s="128">
        <f>A20*B20</f>
        <v>7257.4719999999998</v>
      </c>
      <c r="D20" s="114"/>
      <c r="E20" s="126">
        <v>1</v>
      </c>
      <c r="F20" s="127">
        <v>2.2046199999999998</v>
      </c>
      <c r="G20" s="128">
        <f>E20*F20</f>
        <v>2.2046199999999998</v>
      </c>
      <c r="H20" s="13"/>
      <c r="I20" s="13"/>
      <c r="J20" s="13"/>
      <c r="K20" s="13"/>
    </row>
  </sheetData>
  <mergeCells count="6">
    <mergeCell ref="N18:P18"/>
    <mergeCell ref="Q18:S18"/>
    <mergeCell ref="A1:K1"/>
    <mergeCell ref="A2:C2"/>
    <mergeCell ref="E2:G2"/>
    <mergeCell ref="I2:K2"/>
  </mergeCell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Construction Mat</vt:lpstr>
      <vt:lpstr>CBR Correlations</vt:lpstr>
      <vt:lpstr>Research Information</vt:lpstr>
      <vt:lpstr>English Units</vt:lpstr>
      <vt:lpstr>Metric Units</vt:lpstr>
      <vt:lpstr>Data</vt:lpstr>
      <vt:lpstr>AggProduct</vt:lpstr>
      <vt:lpstr>Blank</vt:lpstr>
      <vt:lpstr>'Construction Mat'!Print_Area</vt:lpstr>
      <vt:lpstr>'English Units'!Print_Area</vt:lpstr>
      <vt:lpstr>'Metric Units'!Print_Area</vt:lpstr>
    </vt:vector>
  </TitlesOfParts>
  <Company>Rank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Justice, Sam</dc:creator>
  <cp:lastModifiedBy>Bocskor, Katie L.</cp:lastModifiedBy>
  <cp:lastPrinted>2019-01-09T17:43:43Z</cp:lastPrinted>
  <dcterms:created xsi:type="dcterms:W3CDTF">2017-10-03T16:57:57Z</dcterms:created>
  <dcterms:modified xsi:type="dcterms:W3CDTF">2020-08-27T15:01:04Z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Porous Pavement Calc_final.xlsx</vt:lpwstr>
  </property>
</Properties>
</file>